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Шукаль Екатерина\AppData\Local\Temp\"/>
    </mc:Choice>
  </mc:AlternateContent>
  <xr:revisionPtr revIDLastSave="0" documentId="8_{5FC49B3D-CBD4-4084-8D73-7E9F357ACCE0}" xr6:coauthVersionLast="40" xr6:coauthVersionMax="40" xr10:uidLastSave="{00000000-0000-0000-0000-000000000000}"/>
  <bookViews>
    <workbookView xWindow="-120" yWindow="-120" windowWidth="29040" windowHeight="17520" xr2:uid="{D371F48C-F69E-4A5D-8458-E7F15691B52A}"/>
  </bookViews>
  <sheets>
    <sheet name="Смета СН-2012 по гл. 1-5,7" sheetId="7" r:id="rId1"/>
    <sheet name="Ведомость объемов работ" sheetId="8" r:id="rId2"/>
    <sheet name="RV_DATA" sheetId="10" state="hidden" r:id="rId3"/>
    <sheet name="Расчет стоимости ресурсов" sheetId="9" state="hidden" r:id="rId4"/>
    <sheet name="Source" sheetId="1" r:id="rId5"/>
    <sheet name="SourceObSm" sheetId="2" r:id="rId6"/>
    <sheet name="SmtRes" sheetId="3" r:id="rId7"/>
    <sheet name="EtalonRes" sheetId="4" r:id="rId8"/>
    <sheet name="SrcPoprs" sheetId="5" r:id="rId9"/>
    <sheet name="SrcKA" sheetId="6" r:id="rId10"/>
  </sheets>
  <definedNames>
    <definedName name="Print_Area" localSheetId="1">'Ведомость объемов работ'!$A$1:$F$95</definedName>
    <definedName name="Print_Area" localSheetId="3">'Расчет стоимости ресурсов'!$A$1:$D$57</definedName>
    <definedName name="Print_Area" localSheetId="0">'Смета СН-2012 по гл. 1-5,7'!$A$1:$K$265</definedName>
    <definedName name="Print_Titles" localSheetId="1">'Ведомость объемов работ'!$17:$17</definedName>
    <definedName name="Print_Titles" localSheetId="3">'Расчет стоимости ресурсов'!$4:$5</definedName>
    <definedName name="Print_Titles" localSheetId="0">'Смета СН-2012 по гл. 1-5,7'!$33:$33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5" i="7" l="1"/>
  <c r="Z70" i="10"/>
  <c r="S70" i="10"/>
  <c r="T70" i="10" s="1"/>
  <c r="P70" i="10"/>
  <c r="R70" i="10" s="1"/>
  <c r="N70" i="10"/>
  <c r="K70" i="10"/>
  <c r="M70" i="10" s="1"/>
  <c r="I70" i="10"/>
  <c r="H70" i="10"/>
  <c r="G70" i="10"/>
  <c r="F70" i="10"/>
  <c r="E70" i="10"/>
  <c r="D70" i="10"/>
  <c r="A70" i="10"/>
  <c r="Z69" i="10"/>
  <c r="S69" i="10"/>
  <c r="T69" i="10" s="1"/>
  <c r="P69" i="10"/>
  <c r="R69" i="10" s="1"/>
  <c r="N69" i="10"/>
  <c r="O69" i="10" s="1"/>
  <c r="K69" i="10"/>
  <c r="M69" i="10" s="1"/>
  <c r="I69" i="10"/>
  <c r="H69" i="10"/>
  <c r="G69" i="10"/>
  <c r="F69" i="10"/>
  <c r="E69" i="10"/>
  <c r="D69" i="10"/>
  <c r="A69" i="10"/>
  <c r="Z68" i="10"/>
  <c r="S68" i="10"/>
  <c r="T68" i="10" s="1"/>
  <c r="P68" i="10"/>
  <c r="R68" i="10" s="1"/>
  <c r="N68" i="10"/>
  <c r="O68" i="10" s="1"/>
  <c r="K68" i="10"/>
  <c r="M68" i="10" s="1"/>
  <c r="I68" i="10"/>
  <c r="H68" i="10"/>
  <c r="G68" i="10"/>
  <c r="F68" i="10"/>
  <c r="E68" i="10"/>
  <c r="D68" i="10"/>
  <c r="A68" i="10"/>
  <c r="Z67" i="10"/>
  <c r="S67" i="10"/>
  <c r="T67" i="10" s="1"/>
  <c r="P67" i="10"/>
  <c r="R67" i="10" s="1"/>
  <c r="N67" i="10"/>
  <c r="O67" i="10" s="1"/>
  <c r="K67" i="10"/>
  <c r="M67" i="10" s="1"/>
  <c r="I67" i="10"/>
  <c r="H67" i="10"/>
  <c r="G67" i="10"/>
  <c r="F67" i="10"/>
  <c r="E67" i="10"/>
  <c r="D67" i="10"/>
  <c r="A67" i="10"/>
  <c r="Z66" i="10"/>
  <c r="S66" i="10"/>
  <c r="P66" i="10"/>
  <c r="N66" i="10"/>
  <c r="K66" i="10"/>
  <c r="I66" i="10"/>
  <c r="H66" i="10"/>
  <c r="G66" i="10"/>
  <c r="F66" i="10"/>
  <c r="E66" i="10"/>
  <c r="D66" i="10"/>
  <c r="A66" i="10"/>
  <c r="Z65" i="10"/>
  <c r="S65" i="10"/>
  <c r="T65" i="10" s="1"/>
  <c r="P65" i="10"/>
  <c r="R65" i="10" s="1"/>
  <c r="N65" i="10"/>
  <c r="O65" i="10" s="1"/>
  <c r="K65" i="10"/>
  <c r="M65" i="10" s="1"/>
  <c r="I65" i="10"/>
  <c r="H65" i="10"/>
  <c r="G65" i="10"/>
  <c r="F65" i="10"/>
  <c r="E65" i="10"/>
  <c r="D65" i="10"/>
  <c r="A65" i="10"/>
  <c r="Z64" i="10"/>
  <c r="S64" i="10"/>
  <c r="T64" i="10" s="1"/>
  <c r="P64" i="10"/>
  <c r="R64" i="10" s="1"/>
  <c r="N64" i="10"/>
  <c r="O64" i="10" s="1"/>
  <c r="K64" i="10"/>
  <c r="M64" i="10" s="1"/>
  <c r="I64" i="10"/>
  <c r="H64" i="10"/>
  <c r="G64" i="10"/>
  <c r="F64" i="10"/>
  <c r="E64" i="10"/>
  <c r="D64" i="10"/>
  <c r="A64" i="10"/>
  <c r="Z63" i="10"/>
  <c r="S63" i="10"/>
  <c r="T63" i="10" s="1"/>
  <c r="P63" i="10"/>
  <c r="R63" i="10" s="1"/>
  <c r="O63" i="10"/>
  <c r="N63" i="10"/>
  <c r="K63" i="10"/>
  <c r="M63" i="10" s="1"/>
  <c r="I63" i="10"/>
  <c r="H63" i="10"/>
  <c r="G63" i="10"/>
  <c r="F63" i="10"/>
  <c r="E63" i="10"/>
  <c r="D63" i="10"/>
  <c r="A63" i="10"/>
  <c r="G62" i="10"/>
  <c r="A62" i="10"/>
  <c r="Z61" i="10"/>
  <c r="S61" i="10"/>
  <c r="T61" i="10" s="1"/>
  <c r="P61" i="10"/>
  <c r="R61" i="10" s="1"/>
  <c r="N61" i="10"/>
  <c r="O61" i="10" s="1"/>
  <c r="K61" i="10"/>
  <c r="I61" i="10"/>
  <c r="H61" i="10"/>
  <c r="G61" i="10"/>
  <c r="F61" i="10"/>
  <c r="E61" i="10"/>
  <c r="D61" i="10"/>
  <c r="A61" i="10"/>
  <c r="G60" i="10"/>
  <c r="A60" i="10"/>
  <c r="G59" i="10"/>
  <c r="A59" i="10"/>
  <c r="Z58" i="10"/>
  <c r="S58" i="10"/>
  <c r="T58" i="10" s="1"/>
  <c r="P58" i="10"/>
  <c r="R58" i="10" s="1"/>
  <c r="N58" i="10"/>
  <c r="O58" i="10" s="1"/>
  <c r="K58" i="10"/>
  <c r="M58" i="10" s="1"/>
  <c r="I58" i="10"/>
  <c r="H58" i="10"/>
  <c r="G58" i="10"/>
  <c r="F58" i="10"/>
  <c r="E58" i="10"/>
  <c r="D58" i="10"/>
  <c r="A58" i="10"/>
  <c r="Z57" i="10"/>
  <c r="S57" i="10"/>
  <c r="T57" i="10" s="1"/>
  <c r="P57" i="10"/>
  <c r="R57" i="10" s="1"/>
  <c r="N57" i="10"/>
  <c r="O57" i="10" s="1"/>
  <c r="K57" i="10"/>
  <c r="M57" i="10" s="1"/>
  <c r="I57" i="10"/>
  <c r="H57" i="10"/>
  <c r="G57" i="10"/>
  <c r="F57" i="10"/>
  <c r="E57" i="10"/>
  <c r="D57" i="10"/>
  <c r="A57" i="10"/>
  <c r="Z56" i="10"/>
  <c r="S56" i="10"/>
  <c r="T56" i="10" s="1"/>
  <c r="P56" i="10"/>
  <c r="R56" i="10" s="1"/>
  <c r="N56" i="10"/>
  <c r="O56" i="10" s="1"/>
  <c r="K56" i="10"/>
  <c r="M56" i="10" s="1"/>
  <c r="I56" i="10"/>
  <c r="H56" i="10"/>
  <c r="G56" i="10"/>
  <c r="F56" i="10"/>
  <c r="E56" i="10"/>
  <c r="D56" i="10"/>
  <c r="A56" i="10"/>
  <c r="Z55" i="10"/>
  <c r="S55" i="10"/>
  <c r="P55" i="10"/>
  <c r="N55" i="10"/>
  <c r="K55" i="10"/>
  <c r="M55" i="10" s="1"/>
  <c r="I55" i="10"/>
  <c r="H55" i="10"/>
  <c r="G55" i="10"/>
  <c r="F55" i="10"/>
  <c r="E55" i="10"/>
  <c r="D55" i="10"/>
  <c r="A55" i="10"/>
  <c r="Z54" i="10"/>
  <c r="S54" i="10"/>
  <c r="T54" i="10" s="1"/>
  <c r="P54" i="10"/>
  <c r="R54" i="10" s="1"/>
  <c r="N54" i="10"/>
  <c r="O54" i="10" s="1"/>
  <c r="K54" i="10"/>
  <c r="M54" i="10" s="1"/>
  <c r="I54" i="10"/>
  <c r="H54" i="10"/>
  <c r="G54" i="10"/>
  <c r="F54" i="10"/>
  <c r="E54" i="10"/>
  <c r="D54" i="10"/>
  <c r="A54" i="10"/>
  <c r="Z53" i="10"/>
  <c r="S53" i="10"/>
  <c r="T53" i="10" s="1"/>
  <c r="P53" i="10"/>
  <c r="R53" i="10" s="1"/>
  <c r="N53" i="10"/>
  <c r="O53" i="10" s="1"/>
  <c r="K53" i="10"/>
  <c r="M53" i="10" s="1"/>
  <c r="I53" i="10"/>
  <c r="H53" i="10"/>
  <c r="G53" i="10"/>
  <c r="F53" i="10"/>
  <c r="E53" i="10"/>
  <c r="D53" i="10"/>
  <c r="A53" i="10"/>
  <c r="Z52" i="10"/>
  <c r="S52" i="10"/>
  <c r="T52" i="10" s="1"/>
  <c r="P52" i="10"/>
  <c r="R52" i="10" s="1"/>
  <c r="N52" i="10"/>
  <c r="O52" i="10" s="1"/>
  <c r="K52" i="10"/>
  <c r="M52" i="10" s="1"/>
  <c r="I52" i="10"/>
  <c r="H52" i="10"/>
  <c r="G52" i="10"/>
  <c r="F52" i="10"/>
  <c r="E52" i="10"/>
  <c r="D52" i="10"/>
  <c r="A52" i="10"/>
  <c r="Z51" i="10"/>
  <c r="S51" i="10"/>
  <c r="T51" i="10" s="1"/>
  <c r="P51" i="10"/>
  <c r="R51" i="10" s="1"/>
  <c r="N51" i="10"/>
  <c r="K51" i="10"/>
  <c r="I51" i="10"/>
  <c r="H51" i="10"/>
  <c r="G51" i="10"/>
  <c r="F51" i="10"/>
  <c r="E51" i="10"/>
  <c r="D51" i="10"/>
  <c r="A51" i="10"/>
  <c r="Z50" i="10"/>
  <c r="S50" i="10"/>
  <c r="T50" i="10" s="1"/>
  <c r="P50" i="10"/>
  <c r="R50" i="10" s="1"/>
  <c r="N50" i="10"/>
  <c r="O50" i="10" s="1"/>
  <c r="K50" i="10"/>
  <c r="M50" i="10" s="1"/>
  <c r="I50" i="10"/>
  <c r="H50" i="10"/>
  <c r="G50" i="10"/>
  <c r="F50" i="10"/>
  <c r="E50" i="10"/>
  <c r="D50" i="10"/>
  <c r="A50" i="10"/>
  <c r="Z49" i="10"/>
  <c r="S49" i="10"/>
  <c r="T49" i="10" s="1"/>
  <c r="P49" i="10"/>
  <c r="R49" i="10" s="1"/>
  <c r="N49" i="10"/>
  <c r="O49" i="10" s="1"/>
  <c r="K49" i="10"/>
  <c r="M49" i="10" s="1"/>
  <c r="I49" i="10"/>
  <c r="H49" i="10"/>
  <c r="G49" i="10"/>
  <c r="F49" i="10"/>
  <c r="E49" i="10"/>
  <c r="D49" i="10"/>
  <c r="A49" i="10"/>
  <c r="Z48" i="10"/>
  <c r="S48" i="10"/>
  <c r="P48" i="10"/>
  <c r="N48" i="10"/>
  <c r="O48" i="10" s="1"/>
  <c r="K48" i="10"/>
  <c r="M48" i="10" s="1"/>
  <c r="I48" i="10"/>
  <c r="H48" i="10"/>
  <c r="G48" i="10"/>
  <c r="F48" i="10"/>
  <c r="E48" i="10"/>
  <c r="D48" i="10"/>
  <c r="A48" i="10"/>
  <c r="Z47" i="10"/>
  <c r="S47" i="10"/>
  <c r="T47" i="10" s="1"/>
  <c r="P47" i="10"/>
  <c r="R47" i="10" s="1"/>
  <c r="N47" i="10"/>
  <c r="O47" i="10" s="1"/>
  <c r="K47" i="10"/>
  <c r="M47" i="10" s="1"/>
  <c r="I47" i="10"/>
  <c r="H47" i="10"/>
  <c r="G47" i="10"/>
  <c r="F47" i="10"/>
  <c r="E47" i="10"/>
  <c r="D47" i="10"/>
  <c r="A47" i="10"/>
  <c r="Z46" i="10"/>
  <c r="S46" i="10"/>
  <c r="T46" i="10" s="1"/>
  <c r="P46" i="10"/>
  <c r="R46" i="10" s="1"/>
  <c r="N46" i="10"/>
  <c r="O46" i="10" s="1"/>
  <c r="K46" i="10"/>
  <c r="M46" i="10" s="1"/>
  <c r="I46" i="10"/>
  <c r="H46" i="10"/>
  <c r="G46" i="10"/>
  <c r="F46" i="10"/>
  <c r="E46" i="10"/>
  <c r="D46" i="10"/>
  <c r="A46" i="10"/>
  <c r="Z45" i="10"/>
  <c r="S45" i="10"/>
  <c r="T45" i="10" s="1"/>
  <c r="P45" i="10"/>
  <c r="R45" i="10" s="1"/>
  <c r="N45" i="10"/>
  <c r="O45" i="10" s="1"/>
  <c r="K45" i="10"/>
  <c r="M45" i="10" s="1"/>
  <c r="I45" i="10"/>
  <c r="H45" i="10"/>
  <c r="G45" i="10"/>
  <c r="F45" i="10"/>
  <c r="E45" i="10"/>
  <c r="D45" i="10"/>
  <c r="A45" i="10"/>
  <c r="Z44" i="10"/>
  <c r="S44" i="10"/>
  <c r="T44" i="10" s="1"/>
  <c r="P44" i="10"/>
  <c r="R44" i="10" s="1"/>
  <c r="N44" i="10"/>
  <c r="K44" i="10"/>
  <c r="M44" i="10" s="1"/>
  <c r="I44" i="10"/>
  <c r="H44" i="10"/>
  <c r="G44" i="10"/>
  <c r="F44" i="10"/>
  <c r="E44" i="10"/>
  <c r="D44" i="10"/>
  <c r="A44" i="10"/>
  <c r="Z43" i="10"/>
  <c r="S43" i="10"/>
  <c r="T43" i="10" s="1"/>
  <c r="P43" i="10"/>
  <c r="R43" i="10" s="1"/>
  <c r="N43" i="10"/>
  <c r="O43" i="10" s="1"/>
  <c r="K43" i="10"/>
  <c r="M43" i="10" s="1"/>
  <c r="I43" i="10"/>
  <c r="H43" i="10"/>
  <c r="G43" i="10"/>
  <c r="F43" i="10"/>
  <c r="E43" i="10"/>
  <c r="D43" i="10"/>
  <c r="A43" i="10"/>
  <c r="Z42" i="10"/>
  <c r="S42" i="10"/>
  <c r="T42" i="10" s="1"/>
  <c r="P42" i="10"/>
  <c r="R42" i="10" s="1"/>
  <c r="N42" i="10"/>
  <c r="O42" i="10" s="1"/>
  <c r="K42" i="10"/>
  <c r="M42" i="10" s="1"/>
  <c r="I42" i="10"/>
  <c r="H42" i="10"/>
  <c r="G42" i="10"/>
  <c r="F42" i="10"/>
  <c r="E42" i="10"/>
  <c r="D42" i="10"/>
  <c r="A42" i="10"/>
  <c r="Z41" i="10"/>
  <c r="S41" i="10"/>
  <c r="T41" i="10" s="1"/>
  <c r="P41" i="10"/>
  <c r="R41" i="10" s="1"/>
  <c r="N41" i="10"/>
  <c r="O41" i="10" s="1"/>
  <c r="K41" i="10"/>
  <c r="M41" i="10" s="1"/>
  <c r="I41" i="10"/>
  <c r="H41" i="10"/>
  <c r="G41" i="10"/>
  <c r="F41" i="10"/>
  <c r="E41" i="10"/>
  <c r="D41" i="10"/>
  <c r="A41" i="10"/>
  <c r="Z40" i="10"/>
  <c r="S40" i="10"/>
  <c r="P40" i="10"/>
  <c r="N40" i="10"/>
  <c r="K40" i="10"/>
  <c r="I40" i="10"/>
  <c r="H40" i="10"/>
  <c r="G40" i="10"/>
  <c r="F40" i="10"/>
  <c r="E40" i="10"/>
  <c r="D40" i="10"/>
  <c r="A40" i="10"/>
  <c r="Z39" i="10"/>
  <c r="S39" i="10"/>
  <c r="T39" i="10" s="1"/>
  <c r="P39" i="10"/>
  <c r="R39" i="10" s="1"/>
  <c r="N39" i="10"/>
  <c r="O39" i="10" s="1"/>
  <c r="K39" i="10"/>
  <c r="M39" i="10" s="1"/>
  <c r="I39" i="10"/>
  <c r="H39" i="10"/>
  <c r="G39" i="10"/>
  <c r="F39" i="10"/>
  <c r="E39" i="10"/>
  <c r="D39" i="10"/>
  <c r="A39" i="10"/>
  <c r="Z38" i="10"/>
  <c r="S38" i="10"/>
  <c r="T38" i="10" s="1"/>
  <c r="P38" i="10"/>
  <c r="R38" i="10" s="1"/>
  <c r="N38" i="10"/>
  <c r="O38" i="10" s="1"/>
  <c r="K38" i="10"/>
  <c r="M38" i="10" s="1"/>
  <c r="I38" i="10"/>
  <c r="H38" i="10"/>
  <c r="G38" i="10"/>
  <c r="F38" i="10"/>
  <c r="E38" i="10"/>
  <c r="D38" i="10"/>
  <c r="A38" i="10"/>
  <c r="Z37" i="10"/>
  <c r="S37" i="10"/>
  <c r="P37" i="10"/>
  <c r="N37" i="10"/>
  <c r="O37" i="10" s="1"/>
  <c r="K37" i="10"/>
  <c r="M37" i="10" s="1"/>
  <c r="I37" i="10"/>
  <c r="H37" i="10"/>
  <c r="G37" i="10"/>
  <c r="F37" i="10"/>
  <c r="E37" i="10"/>
  <c r="D37" i="10"/>
  <c r="A37" i="10"/>
  <c r="Z36" i="10"/>
  <c r="S36" i="10"/>
  <c r="T36" i="10" s="1"/>
  <c r="P36" i="10"/>
  <c r="R36" i="10" s="1"/>
  <c r="N36" i="10"/>
  <c r="O36" i="10" s="1"/>
  <c r="K36" i="10"/>
  <c r="M36" i="10" s="1"/>
  <c r="I36" i="10"/>
  <c r="H36" i="10"/>
  <c r="G36" i="10"/>
  <c r="F36" i="10"/>
  <c r="E36" i="10"/>
  <c r="D36" i="10"/>
  <c r="A36" i="10"/>
  <c r="Z35" i="10"/>
  <c r="S35" i="10"/>
  <c r="T35" i="10" s="1"/>
  <c r="P35" i="10"/>
  <c r="R35" i="10" s="1"/>
  <c r="N35" i="10"/>
  <c r="O35" i="10" s="1"/>
  <c r="K35" i="10"/>
  <c r="M35" i="10" s="1"/>
  <c r="I35" i="10"/>
  <c r="H35" i="10"/>
  <c r="G35" i="10"/>
  <c r="F35" i="10"/>
  <c r="E35" i="10"/>
  <c r="D35" i="10"/>
  <c r="A35" i="10"/>
  <c r="Z34" i="10"/>
  <c r="S34" i="10"/>
  <c r="T34" i="10" s="1"/>
  <c r="P34" i="10"/>
  <c r="R34" i="10" s="1"/>
  <c r="N34" i="10"/>
  <c r="O34" i="10" s="1"/>
  <c r="K34" i="10"/>
  <c r="M34" i="10" s="1"/>
  <c r="I34" i="10"/>
  <c r="H34" i="10"/>
  <c r="G34" i="10"/>
  <c r="F34" i="10"/>
  <c r="E34" i="10"/>
  <c r="D34" i="10"/>
  <c r="A34" i="10"/>
  <c r="Z33" i="10"/>
  <c r="S33" i="10"/>
  <c r="T33" i="10" s="1"/>
  <c r="P33" i="10"/>
  <c r="R33" i="10" s="1"/>
  <c r="N33" i="10"/>
  <c r="K33" i="10"/>
  <c r="M33" i="10" s="1"/>
  <c r="I33" i="10"/>
  <c r="H33" i="10"/>
  <c r="G33" i="10"/>
  <c r="F33" i="10"/>
  <c r="E33" i="10"/>
  <c r="D33" i="10"/>
  <c r="A33" i="10"/>
  <c r="Z32" i="10"/>
  <c r="S32" i="10"/>
  <c r="T32" i="10" s="1"/>
  <c r="P32" i="10"/>
  <c r="R32" i="10" s="1"/>
  <c r="N32" i="10"/>
  <c r="O32" i="10" s="1"/>
  <c r="K32" i="10"/>
  <c r="M32" i="10" s="1"/>
  <c r="I32" i="10"/>
  <c r="H32" i="10"/>
  <c r="G32" i="10"/>
  <c r="F32" i="10"/>
  <c r="E32" i="10"/>
  <c r="D32" i="10"/>
  <c r="A32" i="10"/>
  <c r="Z31" i="10"/>
  <c r="S31" i="10"/>
  <c r="T31" i="10" s="1"/>
  <c r="P31" i="10"/>
  <c r="R31" i="10" s="1"/>
  <c r="N31" i="10"/>
  <c r="O31" i="10" s="1"/>
  <c r="K31" i="10"/>
  <c r="M31" i="10" s="1"/>
  <c r="I31" i="10"/>
  <c r="H31" i="10"/>
  <c r="G31" i="10"/>
  <c r="F31" i="10"/>
  <c r="E31" i="10"/>
  <c r="D31" i="10"/>
  <c r="A31" i="10"/>
  <c r="Z30" i="10"/>
  <c r="S30" i="10"/>
  <c r="T30" i="10" s="1"/>
  <c r="P30" i="10"/>
  <c r="R30" i="10" s="1"/>
  <c r="N30" i="10"/>
  <c r="O30" i="10" s="1"/>
  <c r="K30" i="10"/>
  <c r="M30" i="10" s="1"/>
  <c r="I30" i="10"/>
  <c r="H30" i="10"/>
  <c r="G30" i="10"/>
  <c r="F30" i="10"/>
  <c r="E30" i="10"/>
  <c r="D30" i="10"/>
  <c r="A30" i="10"/>
  <c r="Z29" i="10"/>
  <c r="S29" i="10"/>
  <c r="P29" i="10"/>
  <c r="N29" i="10"/>
  <c r="K29" i="10"/>
  <c r="I29" i="10"/>
  <c r="H29" i="10"/>
  <c r="G29" i="10"/>
  <c r="F29" i="10"/>
  <c r="E29" i="10"/>
  <c r="D29" i="10"/>
  <c r="A29" i="10"/>
  <c r="Z28" i="10"/>
  <c r="D21" i="9" s="1"/>
  <c r="S28" i="10"/>
  <c r="T28" i="10" s="1"/>
  <c r="P28" i="10"/>
  <c r="R28" i="10" s="1"/>
  <c r="N28" i="10"/>
  <c r="O28" i="10" s="1"/>
  <c r="K28" i="10"/>
  <c r="M28" i="10" s="1"/>
  <c r="I28" i="10"/>
  <c r="H28" i="10"/>
  <c r="G28" i="10"/>
  <c r="F28" i="10"/>
  <c r="E28" i="10"/>
  <c r="D28" i="10"/>
  <c r="A28" i="10"/>
  <c r="Z27" i="10"/>
  <c r="S27" i="10"/>
  <c r="T27" i="10" s="1"/>
  <c r="P27" i="10"/>
  <c r="R27" i="10" s="1"/>
  <c r="N27" i="10"/>
  <c r="O27" i="10" s="1"/>
  <c r="K27" i="10"/>
  <c r="M27" i="10" s="1"/>
  <c r="I27" i="10"/>
  <c r="H27" i="10"/>
  <c r="G27" i="10"/>
  <c r="F27" i="10"/>
  <c r="E27" i="10"/>
  <c r="D27" i="10"/>
  <c r="A27" i="10"/>
  <c r="Z26" i="10"/>
  <c r="S26" i="10"/>
  <c r="T26" i="10" s="1"/>
  <c r="P26" i="10"/>
  <c r="R26" i="10" s="1"/>
  <c r="O26" i="10"/>
  <c r="N26" i="10"/>
  <c r="K26" i="10"/>
  <c r="M26" i="10" s="1"/>
  <c r="I26" i="10"/>
  <c r="H26" i="10"/>
  <c r="G26" i="10"/>
  <c r="F26" i="10"/>
  <c r="E26" i="10"/>
  <c r="D26" i="10"/>
  <c r="A26" i="10"/>
  <c r="Z25" i="10"/>
  <c r="T25" i="10"/>
  <c r="R25" i="10"/>
  <c r="Q25" i="10"/>
  <c r="S25" i="10"/>
  <c r="P25" i="10"/>
  <c r="L25" i="10"/>
  <c r="O25" i="10" s="1"/>
  <c r="N25" i="10"/>
  <c r="K25" i="10"/>
  <c r="J25" i="10"/>
  <c r="I25" i="10"/>
  <c r="H25" i="10"/>
  <c r="G25" i="10"/>
  <c r="F25" i="10"/>
  <c r="E25" i="10"/>
  <c r="Z24" i="10"/>
  <c r="T24" i="10"/>
  <c r="Q24" i="10"/>
  <c r="R24" i="10" s="1"/>
  <c r="S24" i="10"/>
  <c r="P24" i="10"/>
  <c r="O24" i="10"/>
  <c r="M24" i="10"/>
  <c r="L24" i="10"/>
  <c r="N24" i="10"/>
  <c r="K24" i="10"/>
  <c r="J24" i="10"/>
  <c r="I24" i="10"/>
  <c r="H24" i="10"/>
  <c r="G24" i="10"/>
  <c r="F24" i="10"/>
  <c r="E24" i="10"/>
  <c r="Z23" i="10"/>
  <c r="T23" i="10"/>
  <c r="R23" i="10"/>
  <c r="Q23" i="10"/>
  <c r="S23" i="10"/>
  <c r="P23" i="10"/>
  <c r="O23" i="10"/>
  <c r="L23" i="10"/>
  <c r="M23" i="10" s="1"/>
  <c r="N23" i="10"/>
  <c r="K23" i="10"/>
  <c r="J23" i="10"/>
  <c r="I23" i="10"/>
  <c r="H23" i="10"/>
  <c r="G23" i="10"/>
  <c r="F23" i="10"/>
  <c r="E23" i="10"/>
  <c r="Z22" i="10"/>
  <c r="Q22" i="10"/>
  <c r="S22" i="10"/>
  <c r="P22" i="10"/>
  <c r="L22" i="10"/>
  <c r="O22" i="10" s="1"/>
  <c r="N22" i="10"/>
  <c r="K22" i="10"/>
  <c r="J22" i="10"/>
  <c r="I22" i="10"/>
  <c r="H22" i="10"/>
  <c r="G22" i="10"/>
  <c r="F22" i="10"/>
  <c r="E22" i="10"/>
  <c r="Z21" i="10"/>
  <c r="Q21" i="10"/>
  <c r="T21" i="10" s="1"/>
  <c r="S21" i="10"/>
  <c r="P21" i="10"/>
  <c r="L21" i="10"/>
  <c r="N21" i="10"/>
  <c r="K21" i="10"/>
  <c r="J21" i="10"/>
  <c r="I21" i="10"/>
  <c r="H21" i="10"/>
  <c r="G21" i="10"/>
  <c r="F21" i="10"/>
  <c r="E21" i="10"/>
  <c r="Z20" i="10"/>
  <c r="S20" i="10"/>
  <c r="T20" i="10" s="1"/>
  <c r="P20" i="10"/>
  <c r="R20" i="10" s="1"/>
  <c r="O20" i="10"/>
  <c r="N20" i="10"/>
  <c r="K20" i="10"/>
  <c r="M20" i="10" s="1"/>
  <c r="I20" i="10"/>
  <c r="H20" i="10"/>
  <c r="G20" i="10"/>
  <c r="F20" i="10"/>
  <c r="E20" i="10"/>
  <c r="D20" i="10"/>
  <c r="A20" i="10"/>
  <c r="Z19" i="10"/>
  <c r="D16" i="9" s="1"/>
  <c r="Q19" i="10"/>
  <c r="T19" i="10" s="1"/>
  <c r="S19" i="10"/>
  <c r="P19" i="10"/>
  <c r="L19" i="10"/>
  <c r="O19" i="10" s="1"/>
  <c r="N19" i="10"/>
  <c r="K19" i="10"/>
  <c r="J19" i="10"/>
  <c r="I19" i="10"/>
  <c r="H19" i="10"/>
  <c r="G19" i="10"/>
  <c r="F19" i="10"/>
  <c r="E19" i="10"/>
  <c r="Z18" i="10"/>
  <c r="Q18" i="10"/>
  <c r="T18" i="10" s="1"/>
  <c r="S18" i="10"/>
  <c r="P18" i="10"/>
  <c r="L18" i="10"/>
  <c r="M18" i="10" s="1"/>
  <c r="N18" i="10"/>
  <c r="K18" i="10"/>
  <c r="J18" i="10"/>
  <c r="I18" i="10"/>
  <c r="H18" i="10"/>
  <c r="G18" i="10"/>
  <c r="F18" i="10"/>
  <c r="E18" i="10"/>
  <c r="Z17" i="10"/>
  <c r="Q17" i="10"/>
  <c r="T17" i="10" s="1"/>
  <c r="S17" i="10"/>
  <c r="P17" i="10"/>
  <c r="L17" i="10"/>
  <c r="O17" i="10" s="1"/>
  <c r="N17" i="10"/>
  <c r="K17" i="10"/>
  <c r="J17" i="10"/>
  <c r="I17" i="10"/>
  <c r="H17" i="10"/>
  <c r="G17" i="10"/>
  <c r="F17" i="10"/>
  <c r="E17" i="10"/>
  <c r="Z16" i="10"/>
  <c r="Q16" i="10"/>
  <c r="T16" i="10" s="1"/>
  <c r="S16" i="10"/>
  <c r="P16" i="10"/>
  <c r="L16" i="10"/>
  <c r="O16" i="10" s="1"/>
  <c r="N16" i="10"/>
  <c r="K16" i="10"/>
  <c r="J16" i="10"/>
  <c r="I16" i="10"/>
  <c r="H16" i="10"/>
  <c r="G16" i="10"/>
  <c r="F16" i="10"/>
  <c r="E16" i="10"/>
  <c r="Z15" i="10"/>
  <c r="Q15" i="10"/>
  <c r="T15" i="10" s="1"/>
  <c r="S15" i="10"/>
  <c r="P15" i="10"/>
  <c r="L15" i="10"/>
  <c r="O15" i="10" s="1"/>
  <c r="N15" i="10"/>
  <c r="K15" i="10"/>
  <c r="J15" i="10"/>
  <c r="I15" i="10"/>
  <c r="H15" i="10"/>
  <c r="G15" i="10"/>
  <c r="F15" i="10"/>
  <c r="E15" i="10"/>
  <c r="Z14" i="10"/>
  <c r="Q14" i="10"/>
  <c r="T14" i="10" s="1"/>
  <c r="S14" i="10"/>
  <c r="P14" i="10"/>
  <c r="L14" i="10"/>
  <c r="O14" i="10" s="1"/>
  <c r="N14" i="10"/>
  <c r="K14" i="10"/>
  <c r="J14" i="10"/>
  <c r="I14" i="10"/>
  <c r="H14" i="10"/>
  <c r="G14" i="10"/>
  <c r="F14" i="10"/>
  <c r="E14" i="10"/>
  <c r="Z13" i="10"/>
  <c r="S13" i="10"/>
  <c r="T13" i="10" s="1"/>
  <c r="P13" i="10"/>
  <c r="R13" i="10" s="1"/>
  <c r="O13" i="10"/>
  <c r="N13" i="10"/>
  <c r="K13" i="10"/>
  <c r="M13" i="10" s="1"/>
  <c r="I13" i="10"/>
  <c r="H13" i="10"/>
  <c r="G13" i="10"/>
  <c r="F13" i="10"/>
  <c r="E13" i="10"/>
  <c r="D13" i="10"/>
  <c r="A13" i="10"/>
  <c r="Z12" i="10"/>
  <c r="S12" i="10"/>
  <c r="T12" i="10" s="1"/>
  <c r="P12" i="10"/>
  <c r="N12" i="10"/>
  <c r="O12" i="10" s="1"/>
  <c r="K12" i="10"/>
  <c r="M12" i="10" s="1"/>
  <c r="I12" i="10"/>
  <c r="R12" i="10" s="1"/>
  <c r="H12" i="10"/>
  <c r="G12" i="10"/>
  <c r="F12" i="10"/>
  <c r="E12" i="10"/>
  <c r="D12" i="10"/>
  <c r="A12" i="10"/>
  <c r="Z11" i="10"/>
  <c r="S11" i="10"/>
  <c r="T11" i="10" s="1"/>
  <c r="R11" i="10"/>
  <c r="P11" i="10"/>
  <c r="N11" i="10"/>
  <c r="O11" i="10" s="1"/>
  <c r="K11" i="10"/>
  <c r="M11" i="10" s="1"/>
  <c r="I11" i="10"/>
  <c r="H11" i="10"/>
  <c r="G11" i="10"/>
  <c r="F11" i="10"/>
  <c r="E11" i="10"/>
  <c r="D11" i="10"/>
  <c r="A11" i="10"/>
  <c r="Z10" i="10"/>
  <c r="S10" i="10"/>
  <c r="T10" i="10" s="1"/>
  <c r="P10" i="10"/>
  <c r="R10" i="10" s="1"/>
  <c r="N10" i="10"/>
  <c r="O10" i="10" s="1"/>
  <c r="M10" i="10"/>
  <c r="K10" i="10"/>
  <c r="I10" i="10"/>
  <c r="H10" i="10"/>
  <c r="G10" i="10"/>
  <c r="F10" i="10"/>
  <c r="E10" i="10"/>
  <c r="D10" i="10"/>
  <c r="A10" i="10"/>
  <c r="Z9" i="10"/>
  <c r="S9" i="10"/>
  <c r="P9" i="10"/>
  <c r="N9" i="10"/>
  <c r="K9" i="10"/>
  <c r="M9" i="10" s="1"/>
  <c r="I9" i="10"/>
  <c r="H9" i="10"/>
  <c r="G9" i="10"/>
  <c r="F9" i="10"/>
  <c r="E9" i="10"/>
  <c r="D9" i="10"/>
  <c r="A9" i="10"/>
  <c r="Z8" i="10"/>
  <c r="D56" i="9" s="1"/>
  <c r="S8" i="10"/>
  <c r="T8" i="10" s="1"/>
  <c r="P8" i="10"/>
  <c r="R8" i="10" s="1"/>
  <c r="O8" i="10"/>
  <c r="N8" i="10"/>
  <c r="K8" i="10"/>
  <c r="M8" i="10" s="1"/>
  <c r="I8" i="10"/>
  <c r="H8" i="10"/>
  <c r="G8" i="10"/>
  <c r="F8" i="10"/>
  <c r="E8" i="10"/>
  <c r="D8" i="10"/>
  <c r="A8" i="10"/>
  <c r="G7" i="10"/>
  <c r="A7" i="10"/>
  <c r="G6" i="10"/>
  <c r="A6" i="10"/>
  <c r="D93" i="8"/>
  <c r="D91" i="8"/>
  <c r="E88" i="8"/>
  <c r="C88" i="8"/>
  <c r="B88" i="8"/>
  <c r="E87" i="8"/>
  <c r="C87" i="8"/>
  <c r="B87" i="8"/>
  <c r="E86" i="8"/>
  <c r="C86" i="8"/>
  <c r="B86" i="8"/>
  <c r="E85" i="8"/>
  <c r="C85" i="8"/>
  <c r="B85" i="8"/>
  <c r="E84" i="8"/>
  <c r="C84" i="8"/>
  <c r="B84" i="8"/>
  <c r="E83" i="8"/>
  <c r="C83" i="8"/>
  <c r="B83" i="8"/>
  <c r="E82" i="8"/>
  <c r="C82" i="8"/>
  <c r="B82" i="8"/>
  <c r="E81" i="8"/>
  <c r="C81" i="8"/>
  <c r="B81" i="8"/>
  <c r="A80" i="8"/>
  <c r="E79" i="8"/>
  <c r="C79" i="8"/>
  <c r="B79" i="8"/>
  <c r="A78" i="8"/>
  <c r="A77" i="8"/>
  <c r="E76" i="8"/>
  <c r="C76" i="8"/>
  <c r="B76" i="8"/>
  <c r="E75" i="8"/>
  <c r="C75" i="8"/>
  <c r="B75" i="8"/>
  <c r="E74" i="8"/>
  <c r="C74" i="8"/>
  <c r="B74" i="8"/>
  <c r="E73" i="8"/>
  <c r="C73" i="8"/>
  <c r="B73" i="8"/>
  <c r="E72" i="8"/>
  <c r="C72" i="8"/>
  <c r="B72" i="8"/>
  <c r="E71" i="8"/>
  <c r="C71" i="8"/>
  <c r="B71" i="8"/>
  <c r="E70" i="8"/>
  <c r="C70" i="8"/>
  <c r="B70" i="8"/>
  <c r="E69" i="8"/>
  <c r="C69" i="8"/>
  <c r="B69" i="8"/>
  <c r="E68" i="8"/>
  <c r="C68" i="8"/>
  <c r="B68" i="8"/>
  <c r="E67" i="8"/>
  <c r="C67" i="8"/>
  <c r="B67" i="8"/>
  <c r="E66" i="8"/>
  <c r="C66" i="8"/>
  <c r="B66" i="8"/>
  <c r="E65" i="8"/>
  <c r="C65" i="8"/>
  <c r="B65" i="8"/>
  <c r="E64" i="8"/>
  <c r="C64" i="8"/>
  <c r="B64" i="8"/>
  <c r="E63" i="8"/>
  <c r="C63" i="8"/>
  <c r="B63" i="8"/>
  <c r="E62" i="8"/>
  <c r="C62" i="8"/>
  <c r="B62" i="8"/>
  <c r="E61" i="8"/>
  <c r="C61" i="8"/>
  <c r="B61" i="8"/>
  <c r="E60" i="8"/>
  <c r="C60" i="8"/>
  <c r="B60" i="8"/>
  <c r="E59" i="8"/>
  <c r="C59" i="8"/>
  <c r="B59" i="8"/>
  <c r="E58" i="8"/>
  <c r="C58" i="8"/>
  <c r="B58" i="8"/>
  <c r="E57" i="8"/>
  <c r="C57" i="8"/>
  <c r="B57" i="8"/>
  <c r="E56" i="8"/>
  <c r="C56" i="8"/>
  <c r="B56" i="8"/>
  <c r="E55" i="8"/>
  <c r="C55" i="8"/>
  <c r="B55" i="8"/>
  <c r="E54" i="8"/>
  <c r="C54" i="8"/>
  <c r="B54" i="8"/>
  <c r="E53" i="8"/>
  <c r="C53" i="8"/>
  <c r="B53" i="8"/>
  <c r="E52" i="8"/>
  <c r="C52" i="8"/>
  <c r="B52" i="8"/>
  <c r="E51" i="8"/>
  <c r="C51" i="8"/>
  <c r="B51" i="8"/>
  <c r="E50" i="8"/>
  <c r="C50" i="8"/>
  <c r="B50" i="8"/>
  <c r="E49" i="8"/>
  <c r="C49" i="8"/>
  <c r="B49" i="8"/>
  <c r="E48" i="8"/>
  <c r="C48" i="8"/>
  <c r="B48" i="8"/>
  <c r="E47" i="8"/>
  <c r="C47" i="8"/>
  <c r="B47" i="8"/>
  <c r="E46" i="8"/>
  <c r="C46" i="8"/>
  <c r="B46" i="8"/>
  <c r="E45" i="8"/>
  <c r="C45" i="8"/>
  <c r="B45" i="8"/>
  <c r="E44" i="8"/>
  <c r="C44" i="8"/>
  <c r="B44" i="8"/>
  <c r="E43" i="8"/>
  <c r="C43" i="8"/>
  <c r="B43" i="8"/>
  <c r="E42" i="8"/>
  <c r="C42" i="8"/>
  <c r="B42" i="8"/>
  <c r="E41" i="8"/>
  <c r="C41" i="8"/>
  <c r="B41" i="8"/>
  <c r="E40" i="8"/>
  <c r="C40" i="8"/>
  <c r="B40" i="8"/>
  <c r="E39" i="8"/>
  <c r="C39" i="8"/>
  <c r="B39" i="8"/>
  <c r="E38" i="8"/>
  <c r="C38" i="8"/>
  <c r="B38" i="8"/>
  <c r="E37" i="8"/>
  <c r="C37" i="8"/>
  <c r="B37" i="8"/>
  <c r="E36" i="8"/>
  <c r="C36" i="8"/>
  <c r="B36" i="8"/>
  <c r="E35" i="8"/>
  <c r="C35" i="8"/>
  <c r="B35" i="8"/>
  <c r="E34" i="8"/>
  <c r="C34" i="8"/>
  <c r="B34" i="8"/>
  <c r="E33" i="8"/>
  <c r="C33" i="8"/>
  <c r="B33" i="8"/>
  <c r="E32" i="8"/>
  <c r="C32" i="8"/>
  <c r="B32" i="8"/>
  <c r="E31" i="8"/>
  <c r="C31" i="8"/>
  <c r="B31" i="8"/>
  <c r="E30" i="8"/>
  <c r="C30" i="8"/>
  <c r="B30" i="8"/>
  <c r="E29" i="8"/>
  <c r="C29" i="8"/>
  <c r="B29" i="8"/>
  <c r="E28" i="8"/>
  <c r="C28" i="8"/>
  <c r="B28" i="8"/>
  <c r="E27" i="8"/>
  <c r="C27" i="8"/>
  <c r="B27" i="8"/>
  <c r="E26" i="8"/>
  <c r="C26" i="8"/>
  <c r="B26" i="8"/>
  <c r="E25" i="8"/>
  <c r="C25" i="8"/>
  <c r="B25" i="8"/>
  <c r="E24" i="8"/>
  <c r="C24" i="8"/>
  <c r="B24" i="8"/>
  <c r="E23" i="8"/>
  <c r="C23" i="8"/>
  <c r="B23" i="8"/>
  <c r="E22" i="8"/>
  <c r="C22" i="8"/>
  <c r="B22" i="8"/>
  <c r="E21" i="8"/>
  <c r="C21" i="8"/>
  <c r="B21" i="8"/>
  <c r="E20" i="8"/>
  <c r="C20" i="8"/>
  <c r="B20" i="8"/>
  <c r="A19" i="8"/>
  <c r="A18" i="8"/>
  <c r="B13" i="8"/>
  <c r="B12" i="8"/>
  <c r="A1" i="8"/>
  <c r="H263" i="7"/>
  <c r="H260" i="7"/>
  <c r="C263" i="7"/>
  <c r="C260" i="7"/>
  <c r="I257" i="7"/>
  <c r="C257" i="7"/>
  <c r="I256" i="7"/>
  <c r="C256" i="7"/>
  <c r="I255" i="7"/>
  <c r="C255" i="7"/>
  <c r="I28" i="7"/>
  <c r="I27" i="7"/>
  <c r="I26" i="7"/>
  <c r="I25" i="7"/>
  <c r="I24" i="7"/>
  <c r="I23" i="7" s="1"/>
  <c r="I252" i="7"/>
  <c r="C252" i="7"/>
  <c r="I251" i="7"/>
  <c r="C251" i="7"/>
  <c r="A249" i="7"/>
  <c r="A246" i="7"/>
  <c r="J243" i="7"/>
  <c r="I244" i="7" s="1"/>
  <c r="I243" i="7"/>
  <c r="H243" i="7"/>
  <c r="G243" i="7"/>
  <c r="F243" i="7"/>
  <c r="V243" i="7"/>
  <c r="T243" i="7"/>
  <c r="R243" i="7"/>
  <c r="U243" i="7"/>
  <c r="S243" i="7"/>
  <c r="Q243" i="7"/>
  <c r="E243" i="7"/>
  <c r="D243" i="7"/>
  <c r="B243" i="7"/>
  <c r="J241" i="7"/>
  <c r="I242" i="7" s="1"/>
  <c r="I241" i="7"/>
  <c r="H241" i="7"/>
  <c r="G241" i="7"/>
  <c r="F241" i="7"/>
  <c r="V241" i="7"/>
  <c r="T241" i="7"/>
  <c r="R241" i="7"/>
  <c r="U241" i="7"/>
  <c r="S241" i="7"/>
  <c r="Q241" i="7"/>
  <c r="E241" i="7"/>
  <c r="D241" i="7"/>
  <c r="B241" i="7"/>
  <c r="J239" i="7"/>
  <c r="I240" i="7" s="1"/>
  <c r="I239" i="7"/>
  <c r="H239" i="7"/>
  <c r="G239" i="7"/>
  <c r="F239" i="7"/>
  <c r="V239" i="7"/>
  <c r="T239" i="7"/>
  <c r="R239" i="7"/>
  <c r="U239" i="7"/>
  <c r="S239" i="7"/>
  <c r="Q239" i="7"/>
  <c r="E239" i="7"/>
  <c r="D239" i="7"/>
  <c r="B239" i="7"/>
  <c r="J237" i="7"/>
  <c r="I238" i="7" s="1"/>
  <c r="I237" i="7"/>
  <c r="H237" i="7"/>
  <c r="G237" i="7"/>
  <c r="F237" i="7"/>
  <c r="V237" i="7"/>
  <c r="T237" i="7"/>
  <c r="R237" i="7"/>
  <c r="U237" i="7"/>
  <c r="S237" i="7"/>
  <c r="Q237" i="7"/>
  <c r="E237" i="7"/>
  <c r="D237" i="7"/>
  <c r="B237" i="7"/>
  <c r="J235" i="7"/>
  <c r="I236" i="7" s="1"/>
  <c r="I235" i="7"/>
  <c r="H235" i="7"/>
  <c r="G235" i="7"/>
  <c r="F235" i="7"/>
  <c r="V235" i="7"/>
  <c r="T235" i="7"/>
  <c r="R235" i="7"/>
  <c r="U235" i="7"/>
  <c r="S235" i="7"/>
  <c r="Q235" i="7"/>
  <c r="E235" i="7"/>
  <c r="D235" i="7"/>
  <c r="B235" i="7"/>
  <c r="J233" i="7"/>
  <c r="I234" i="7" s="1"/>
  <c r="I233" i="7"/>
  <c r="H233" i="7"/>
  <c r="G233" i="7"/>
  <c r="F233" i="7"/>
  <c r="V233" i="7"/>
  <c r="T233" i="7"/>
  <c r="R233" i="7"/>
  <c r="U233" i="7"/>
  <c r="S233" i="7"/>
  <c r="Q233" i="7"/>
  <c r="E233" i="7"/>
  <c r="D233" i="7"/>
  <c r="B233" i="7"/>
  <c r="J231" i="7"/>
  <c r="I232" i="7" s="1"/>
  <c r="I231" i="7"/>
  <c r="H231" i="7"/>
  <c r="G231" i="7"/>
  <c r="F231" i="7"/>
  <c r="V231" i="7"/>
  <c r="T231" i="7"/>
  <c r="R231" i="7"/>
  <c r="U231" i="7"/>
  <c r="S231" i="7"/>
  <c r="Q231" i="7"/>
  <c r="E231" i="7"/>
  <c r="D231" i="7"/>
  <c r="B231" i="7"/>
  <c r="J229" i="7"/>
  <c r="I230" i="7" s="1"/>
  <c r="I229" i="7"/>
  <c r="H229" i="7"/>
  <c r="G229" i="7"/>
  <c r="F229" i="7"/>
  <c r="V229" i="7"/>
  <c r="T229" i="7"/>
  <c r="R229" i="7"/>
  <c r="U229" i="7"/>
  <c r="S229" i="7"/>
  <c r="Q229" i="7"/>
  <c r="E229" i="7"/>
  <c r="D229" i="7"/>
  <c r="B229" i="7"/>
  <c r="A228" i="7"/>
  <c r="A225" i="7"/>
  <c r="J222" i="7"/>
  <c r="I223" i="7" s="1"/>
  <c r="I222" i="7"/>
  <c r="H222" i="7"/>
  <c r="G222" i="7"/>
  <c r="F222" i="7"/>
  <c r="V222" i="7"/>
  <c r="T222" i="7"/>
  <c r="R222" i="7"/>
  <c r="U222" i="7"/>
  <c r="S222" i="7"/>
  <c r="Q222" i="7"/>
  <c r="E222" i="7"/>
  <c r="D222" i="7"/>
  <c r="B222" i="7"/>
  <c r="A221" i="7"/>
  <c r="A219" i="7"/>
  <c r="I217" i="7"/>
  <c r="C217" i="7"/>
  <c r="I216" i="7"/>
  <c r="C216" i="7"/>
  <c r="I215" i="7"/>
  <c r="C215" i="7"/>
  <c r="A213" i="7"/>
  <c r="A210" i="7"/>
  <c r="K207" i="7"/>
  <c r="H207" i="7"/>
  <c r="G207" i="7"/>
  <c r="E207" i="7"/>
  <c r="E206" i="7"/>
  <c r="E205" i="7"/>
  <c r="J204" i="7"/>
  <c r="I204" i="7"/>
  <c r="H204" i="7"/>
  <c r="F204" i="7"/>
  <c r="V204" i="7"/>
  <c r="T204" i="7"/>
  <c r="R204" i="7"/>
  <c r="U204" i="7"/>
  <c r="S204" i="7"/>
  <c r="Q204" i="7"/>
  <c r="E204" i="7"/>
  <c r="D204" i="7"/>
  <c r="B204" i="7"/>
  <c r="J203" i="7"/>
  <c r="I203" i="7"/>
  <c r="H203" i="7"/>
  <c r="G203" i="7"/>
  <c r="F203" i="7"/>
  <c r="C202" i="7"/>
  <c r="V201" i="7"/>
  <c r="T201" i="7"/>
  <c r="R201" i="7"/>
  <c r="U201" i="7"/>
  <c r="S201" i="7"/>
  <c r="Q201" i="7"/>
  <c r="E201" i="7"/>
  <c r="D201" i="7"/>
  <c r="C201" i="7"/>
  <c r="B201" i="7"/>
  <c r="K199" i="7"/>
  <c r="H199" i="7"/>
  <c r="G199" i="7"/>
  <c r="E199" i="7"/>
  <c r="E198" i="7"/>
  <c r="E197" i="7"/>
  <c r="E196" i="7"/>
  <c r="J195" i="7"/>
  <c r="I195" i="7"/>
  <c r="H195" i="7"/>
  <c r="F195" i="7"/>
  <c r="V195" i="7"/>
  <c r="T195" i="7"/>
  <c r="R195" i="7"/>
  <c r="U195" i="7"/>
  <c r="S195" i="7"/>
  <c r="Q195" i="7"/>
  <c r="E195" i="7"/>
  <c r="D195" i="7"/>
  <c r="B195" i="7"/>
  <c r="J194" i="7"/>
  <c r="I194" i="7"/>
  <c r="H194" i="7"/>
  <c r="G194" i="7"/>
  <c r="F194" i="7"/>
  <c r="J193" i="7"/>
  <c r="I193" i="7"/>
  <c r="H193" i="7"/>
  <c r="G193" i="7"/>
  <c r="F193" i="7"/>
  <c r="J192" i="7"/>
  <c r="I192" i="7"/>
  <c r="H192" i="7"/>
  <c r="G192" i="7"/>
  <c r="F192" i="7"/>
  <c r="V191" i="7"/>
  <c r="J198" i="7" s="1"/>
  <c r="T191" i="7"/>
  <c r="J197" i="7" s="1"/>
  <c r="R191" i="7"/>
  <c r="J196" i="7" s="1"/>
  <c r="U191" i="7"/>
  <c r="S191" i="7"/>
  <c r="Q191" i="7"/>
  <c r="E191" i="7"/>
  <c r="D191" i="7"/>
  <c r="C191" i="7"/>
  <c r="B191" i="7"/>
  <c r="K189" i="7"/>
  <c r="H189" i="7"/>
  <c r="G189" i="7"/>
  <c r="E189" i="7"/>
  <c r="E188" i="7"/>
  <c r="E187" i="7"/>
  <c r="E186" i="7"/>
  <c r="J185" i="7"/>
  <c r="I185" i="7"/>
  <c r="H185" i="7"/>
  <c r="F185" i="7"/>
  <c r="V185" i="7"/>
  <c r="T185" i="7"/>
  <c r="R185" i="7"/>
  <c r="U185" i="7"/>
  <c r="S185" i="7"/>
  <c r="Q185" i="7"/>
  <c r="E185" i="7"/>
  <c r="D185" i="7"/>
  <c r="B185" i="7"/>
  <c r="J184" i="7"/>
  <c r="I184" i="7"/>
  <c r="H184" i="7"/>
  <c r="F184" i="7"/>
  <c r="V184" i="7"/>
  <c r="T184" i="7"/>
  <c r="R184" i="7"/>
  <c r="U184" i="7"/>
  <c r="S184" i="7"/>
  <c r="Q184" i="7"/>
  <c r="E184" i="7"/>
  <c r="D184" i="7"/>
  <c r="C184" i="7"/>
  <c r="B184" i="7"/>
  <c r="J183" i="7"/>
  <c r="I183" i="7"/>
  <c r="H183" i="7"/>
  <c r="F183" i="7"/>
  <c r="V183" i="7"/>
  <c r="T183" i="7"/>
  <c r="R183" i="7"/>
  <c r="U183" i="7"/>
  <c r="S183" i="7"/>
  <c r="Q183" i="7"/>
  <c r="E183" i="7"/>
  <c r="D183" i="7"/>
  <c r="C183" i="7"/>
  <c r="B183" i="7"/>
  <c r="J182" i="7"/>
  <c r="I182" i="7"/>
  <c r="H182" i="7"/>
  <c r="F182" i="7"/>
  <c r="V182" i="7"/>
  <c r="T182" i="7"/>
  <c r="R182" i="7"/>
  <c r="U182" i="7"/>
  <c r="S182" i="7"/>
  <c r="Q182" i="7"/>
  <c r="E182" i="7"/>
  <c r="D182" i="7"/>
  <c r="C182" i="7"/>
  <c r="B182" i="7"/>
  <c r="J181" i="7"/>
  <c r="I181" i="7"/>
  <c r="H181" i="7"/>
  <c r="F181" i="7"/>
  <c r="V181" i="7"/>
  <c r="T181" i="7"/>
  <c r="R181" i="7"/>
  <c r="U181" i="7"/>
  <c r="S181" i="7"/>
  <c r="Q181" i="7"/>
  <c r="E181" i="7"/>
  <c r="D181" i="7"/>
  <c r="C181" i="7"/>
  <c r="B181" i="7"/>
  <c r="J180" i="7"/>
  <c r="I180" i="7"/>
  <c r="H180" i="7"/>
  <c r="F180" i="7"/>
  <c r="V180" i="7"/>
  <c r="T180" i="7"/>
  <c r="R180" i="7"/>
  <c r="U180" i="7"/>
  <c r="S180" i="7"/>
  <c r="Q180" i="7"/>
  <c r="E180" i="7"/>
  <c r="D180" i="7"/>
  <c r="C180" i="7"/>
  <c r="B180" i="7"/>
  <c r="J179" i="7"/>
  <c r="I179" i="7"/>
  <c r="H179" i="7"/>
  <c r="G179" i="7"/>
  <c r="F179" i="7"/>
  <c r="J178" i="7"/>
  <c r="I178" i="7"/>
  <c r="H178" i="7"/>
  <c r="G178" i="7"/>
  <c r="F178" i="7"/>
  <c r="J177" i="7"/>
  <c r="I177" i="7"/>
  <c r="H177" i="7"/>
  <c r="G177" i="7"/>
  <c r="F177" i="7"/>
  <c r="C176" i="7"/>
  <c r="V175" i="7"/>
  <c r="T175" i="7"/>
  <c r="R175" i="7"/>
  <c r="U175" i="7"/>
  <c r="S175" i="7"/>
  <c r="Q175" i="7"/>
  <c r="E175" i="7"/>
  <c r="D175" i="7"/>
  <c r="C175" i="7"/>
  <c r="B175" i="7"/>
  <c r="K173" i="7"/>
  <c r="H173" i="7"/>
  <c r="G173" i="7"/>
  <c r="E173" i="7"/>
  <c r="E172" i="7"/>
  <c r="E171" i="7"/>
  <c r="E170" i="7"/>
  <c r="J169" i="7"/>
  <c r="I169" i="7"/>
  <c r="H169" i="7"/>
  <c r="F169" i="7"/>
  <c r="V169" i="7"/>
  <c r="T169" i="7"/>
  <c r="R169" i="7"/>
  <c r="U169" i="7"/>
  <c r="S169" i="7"/>
  <c r="Q169" i="7"/>
  <c r="E169" i="7"/>
  <c r="D169" i="7"/>
  <c r="B169" i="7"/>
  <c r="J168" i="7"/>
  <c r="I168" i="7"/>
  <c r="H168" i="7"/>
  <c r="F168" i="7"/>
  <c r="V168" i="7"/>
  <c r="T168" i="7"/>
  <c r="R168" i="7"/>
  <c r="U168" i="7"/>
  <c r="S168" i="7"/>
  <c r="Q168" i="7"/>
  <c r="E168" i="7"/>
  <c r="D168" i="7"/>
  <c r="C168" i="7"/>
  <c r="B168" i="7"/>
  <c r="J167" i="7"/>
  <c r="I167" i="7"/>
  <c r="H167" i="7"/>
  <c r="F167" i="7"/>
  <c r="V167" i="7"/>
  <c r="T167" i="7"/>
  <c r="R167" i="7"/>
  <c r="U167" i="7"/>
  <c r="S167" i="7"/>
  <c r="Q167" i="7"/>
  <c r="E167" i="7"/>
  <c r="D167" i="7"/>
  <c r="C167" i="7"/>
  <c r="B167" i="7"/>
  <c r="J166" i="7"/>
  <c r="I166" i="7"/>
  <c r="H166" i="7"/>
  <c r="F166" i="7"/>
  <c r="V166" i="7"/>
  <c r="T166" i="7"/>
  <c r="R166" i="7"/>
  <c r="U166" i="7"/>
  <c r="S166" i="7"/>
  <c r="Q166" i="7"/>
  <c r="E166" i="7"/>
  <c r="D166" i="7"/>
  <c r="C166" i="7"/>
  <c r="B166" i="7"/>
  <c r="J165" i="7"/>
  <c r="I165" i="7"/>
  <c r="H165" i="7"/>
  <c r="F165" i="7"/>
  <c r="V165" i="7"/>
  <c r="T165" i="7"/>
  <c r="R165" i="7"/>
  <c r="U165" i="7"/>
  <c r="S165" i="7"/>
  <c r="Q165" i="7"/>
  <c r="E165" i="7"/>
  <c r="D165" i="7"/>
  <c r="C165" i="7"/>
  <c r="B165" i="7"/>
  <c r="J164" i="7"/>
  <c r="I164" i="7"/>
  <c r="H164" i="7"/>
  <c r="F164" i="7"/>
  <c r="V164" i="7"/>
  <c r="T164" i="7"/>
  <c r="R164" i="7"/>
  <c r="U164" i="7"/>
  <c r="S164" i="7"/>
  <c r="Q164" i="7"/>
  <c r="E164" i="7"/>
  <c r="D164" i="7"/>
  <c r="C164" i="7"/>
  <c r="B164" i="7"/>
  <c r="J163" i="7"/>
  <c r="I163" i="7"/>
  <c r="H163" i="7"/>
  <c r="G163" i="7"/>
  <c r="F163" i="7"/>
  <c r="J162" i="7"/>
  <c r="I162" i="7"/>
  <c r="H162" i="7"/>
  <c r="G162" i="7"/>
  <c r="F162" i="7"/>
  <c r="J161" i="7"/>
  <c r="I161" i="7"/>
  <c r="H161" i="7"/>
  <c r="G161" i="7"/>
  <c r="F161" i="7"/>
  <c r="C160" i="7"/>
  <c r="V159" i="7"/>
  <c r="T159" i="7"/>
  <c r="R159" i="7"/>
  <c r="U159" i="7"/>
  <c r="S159" i="7"/>
  <c r="Q159" i="7"/>
  <c r="E159" i="7"/>
  <c r="D159" i="7"/>
  <c r="C159" i="7"/>
  <c r="B159" i="7"/>
  <c r="K157" i="7"/>
  <c r="H157" i="7"/>
  <c r="G157" i="7"/>
  <c r="E157" i="7"/>
  <c r="E156" i="7"/>
  <c r="E155" i="7"/>
  <c r="E154" i="7"/>
  <c r="J153" i="7"/>
  <c r="I153" i="7"/>
  <c r="H153" i="7"/>
  <c r="F153" i="7"/>
  <c r="V153" i="7"/>
  <c r="T153" i="7"/>
  <c r="R153" i="7"/>
  <c r="U153" i="7"/>
  <c r="S153" i="7"/>
  <c r="Q153" i="7"/>
  <c r="E153" i="7"/>
  <c r="D153" i="7"/>
  <c r="B153" i="7"/>
  <c r="J152" i="7"/>
  <c r="I152" i="7"/>
  <c r="H152" i="7"/>
  <c r="F152" i="7"/>
  <c r="V152" i="7"/>
  <c r="T152" i="7"/>
  <c r="R152" i="7"/>
  <c r="U152" i="7"/>
  <c r="S152" i="7"/>
  <c r="Q152" i="7"/>
  <c r="E152" i="7"/>
  <c r="D152" i="7"/>
  <c r="C152" i="7"/>
  <c r="B152" i="7"/>
  <c r="J151" i="7"/>
  <c r="I151" i="7"/>
  <c r="H151" i="7"/>
  <c r="F151" i="7"/>
  <c r="V151" i="7"/>
  <c r="T151" i="7"/>
  <c r="R151" i="7"/>
  <c r="U151" i="7"/>
  <c r="S151" i="7"/>
  <c r="Q151" i="7"/>
  <c r="E151" i="7"/>
  <c r="D151" i="7"/>
  <c r="C151" i="7"/>
  <c r="B151" i="7"/>
  <c r="J150" i="7"/>
  <c r="I150" i="7"/>
  <c r="H150" i="7"/>
  <c r="F150" i="7"/>
  <c r="V150" i="7"/>
  <c r="T150" i="7"/>
  <c r="R150" i="7"/>
  <c r="U150" i="7"/>
  <c r="S150" i="7"/>
  <c r="Q150" i="7"/>
  <c r="E150" i="7"/>
  <c r="D150" i="7"/>
  <c r="C150" i="7"/>
  <c r="B150" i="7"/>
  <c r="J149" i="7"/>
  <c r="I149" i="7"/>
  <c r="H149" i="7"/>
  <c r="F149" i="7"/>
  <c r="V149" i="7"/>
  <c r="T149" i="7"/>
  <c r="R149" i="7"/>
  <c r="U149" i="7"/>
  <c r="S149" i="7"/>
  <c r="Q149" i="7"/>
  <c r="E149" i="7"/>
  <c r="D149" i="7"/>
  <c r="C149" i="7"/>
  <c r="B149" i="7"/>
  <c r="J148" i="7"/>
  <c r="I148" i="7"/>
  <c r="H148" i="7"/>
  <c r="F148" i="7"/>
  <c r="V148" i="7"/>
  <c r="T148" i="7"/>
  <c r="R148" i="7"/>
  <c r="U148" i="7"/>
  <c r="S148" i="7"/>
  <c r="Q148" i="7"/>
  <c r="E148" i="7"/>
  <c r="D148" i="7"/>
  <c r="C148" i="7"/>
  <c r="B148" i="7"/>
  <c r="J147" i="7"/>
  <c r="I147" i="7"/>
  <c r="H147" i="7"/>
  <c r="G147" i="7"/>
  <c r="F147" i="7"/>
  <c r="J146" i="7"/>
  <c r="I146" i="7"/>
  <c r="H146" i="7"/>
  <c r="G146" i="7"/>
  <c r="F146" i="7"/>
  <c r="J145" i="7"/>
  <c r="I145" i="7"/>
  <c r="H145" i="7"/>
  <c r="G145" i="7"/>
  <c r="F145" i="7"/>
  <c r="C144" i="7"/>
  <c r="V143" i="7"/>
  <c r="T143" i="7"/>
  <c r="R143" i="7"/>
  <c r="U143" i="7"/>
  <c r="S143" i="7"/>
  <c r="Q143" i="7"/>
  <c r="E143" i="7"/>
  <c r="D143" i="7"/>
  <c r="C143" i="7"/>
  <c r="B143" i="7"/>
  <c r="K141" i="7"/>
  <c r="H141" i="7"/>
  <c r="G141" i="7"/>
  <c r="E141" i="7"/>
  <c r="E140" i="7"/>
  <c r="E139" i="7"/>
  <c r="J138" i="7"/>
  <c r="I138" i="7"/>
  <c r="H138" i="7"/>
  <c r="F138" i="7"/>
  <c r="V138" i="7"/>
  <c r="T138" i="7"/>
  <c r="R138" i="7"/>
  <c r="U138" i="7"/>
  <c r="S138" i="7"/>
  <c r="Q138" i="7"/>
  <c r="E138" i="7"/>
  <c r="D138" i="7"/>
  <c r="B138" i="7"/>
  <c r="J137" i="7"/>
  <c r="I137" i="7"/>
  <c r="H137" i="7"/>
  <c r="G137" i="7"/>
  <c r="F137" i="7"/>
  <c r="V136" i="7"/>
  <c r="T136" i="7"/>
  <c r="J140" i="7" s="1"/>
  <c r="R136" i="7"/>
  <c r="J139" i="7" s="1"/>
  <c r="U136" i="7"/>
  <c r="S136" i="7"/>
  <c r="Q136" i="7"/>
  <c r="E136" i="7"/>
  <c r="D136" i="7"/>
  <c r="C136" i="7"/>
  <c r="B136" i="7"/>
  <c r="K134" i="7"/>
  <c r="H134" i="7"/>
  <c r="G134" i="7"/>
  <c r="E134" i="7"/>
  <c r="E133" i="7"/>
  <c r="E132" i="7"/>
  <c r="E131" i="7"/>
  <c r="J130" i="7"/>
  <c r="I130" i="7"/>
  <c r="H130" i="7"/>
  <c r="F130" i="7"/>
  <c r="V130" i="7"/>
  <c r="T130" i="7"/>
  <c r="R130" i="7"/>
  <c r="U130" i="7"/>
  <c r="S130" i="7"/>
  <c r="Q130" i="7"/>
  <c r="E130" i="7"/>
  <c r="D130" i="7"/>
  <c r="B130" i="7"/>
  <c r="J129" i="7"/>
  <c r="I129" i="7"/>
  <c r="H129" i="7"/>
  <c r="G129" i="7"/>
  <c r="F129" i="7"/>
  <c r="J128" i="7"/>
  <c r="I128" i="7"/>
  <c r="H128" i="7"/>
  <c r="G128" i="7"/>
  <c r="F128" i="7"/>
  <c r="J127" i="7"/>
  <c r="I127" i="7"/>
  <c r="H127" i="7"/>
  <c r="G127" i="7"/>
  <c r="F127" i="7"/>
  <c r="C126" i="7"/>
  <c r="V125" i="7"/>
  <c r="J133" i="7" s="1"/>
  <c r="T125" i="7"/>
  <c r="J132" i="7" s="1"/>
  <c r="R125" i="7"/>
  <c r="J131" i="7" s="1"/>
  <c r="U125" i="7"/>
  <c r="S125" i="7"/>
  <c r="Q125" i="7"/>
  <c r="E125" i="7"/>
  <c r="D125" i="7"/>
  <c r="C125" i="7"/>
  <c r="B125" i="7"/>
  <c r="K123" i="7"/>
  <c r="H123" i="7"/>
  <c r="G123" i="7"/>
  <c r="E123" i="7"/>
  <c r="E122" i="7"/>
  <c r="E121" i="7"/>
  <c r="E120" i="7"/>
  <c r="J119" i="7"/>
  <c r="I119" i="7"/>
  <c r="H119" i="7"/>
  <c r="F119" i="7"/>
  <c r="V119" i="7"/>
  <c r="T119" i="7"/>
  <c r="R119" i="7"/>
  <c r="U119" i="7"/>
  <c r="S119" i="7"/>
  <c r="Q119" i="7"/>
  <c r="E119" i="7"/>
  <c r="D119" i="7"/>
  <c r="B119" i="7"/>
  <c r="J118" i="7"/>
  <c r="I118" i="7"/>
  <c r="H118" i="7"/>
  <c r="G118" i="7"/>
  <c r="F118" i="7"/>
  <c r="J117" i="7"/>
  <c r="I117" i="7"/>
  <c r="H117" i="7"/>
  <c r="G117" i="7"/>
  <c r="F117" i="7"/>
  <c r="J116" i="7"/>
  <c r="I116" i="7"/>
  <c r="H116" i="7"/>
  <c r="G116" i="7"/>
  <c r="F116" i="7"/>
  <c r="C115" i="7"/>
  <c r="V114" i="7"/>
  <c r="T114" i="7"/>
  <c r="R114" i="7"/>
  <c r="U114" i="7"/>
  <c r="S114" i="7"/>
  <c r="Q114" i="7"/>
  <c r="E114" i="7"/>
  <c r="D114" i="7"/>
  <c r="C114" i="7"/>
  <c r="B114" i="7"/>
  <c r="K112" i="7"/>
  <c r="H112" i="7"/>
  <c r="G112" i="7"/>
  <c r="E112" i="7"/>
  <c r="E111" i="7"/>
  <c r="E110" i="7"/>
  <c r="J109" i="7"/>
  <c r="I109" i="7"/>
  <c r="H109" i="7"/>
  <c r="F109" i="7"/>
  <c r="V109" i="7"/>
  <c r="T109" i="7"/>
  <c r="R109" i="7"/>
  <c r="U109" i="7"/>
  <c r="S109" i="7"/>
  <c r="Q109" i="7"/>
  <c r="E109" i="7"/>
  <c r="D109" i="7"/>
  <c r="B109" i="7"/>
  <c r="J108" i="7"/>
  <c r="I108" i="7"/>
  <c r="H108" i="7"/>
  <c r="F108" i="7"/>
  <c r="V108" i="7"/>
  <c r="T108" i="7"/>
  <c r="R108" i="7"/>
  <c r="U108" i="7"/>
  <c r="S108" i="7"/>
  <c r="Q108" i="7"/>
  <c r="E108" i="7"/>
  <c r="D108" i="7"/>
  <c r="B108" i="7"/>
  <c r="J107" i="7"/>
  <c r="I107" i="7"/>
  <c r="H107" i="7"/>
  <c r="G107" i="7"/>
  <c r="F107" i="7"/>
  <c r="V106" i="7"/>
  <c r="T106" i="7"/>
  <c r="R106" i="7"/>
  <c r="U106" i="7"/>
  <c r="S106" i="7"/>
  <c r="Q106" i="7"/>
  <c r="E106" i="7"/>
  <c r="D106" i="7"/>
  <c r="C106" i="7"/>
  <c r="B106" i="7"/>
  <c r="K104" i="7"/>
  <c r="H104" i="7"/>
  <c r="G104" i="7"/>
  <c r="E104" i="7"/>
  <c r="E103" i="7"/>
  <c r="E102" i="7"/>
  <c r="J101" i="7"/>
  <c r="I101" i="7"/>
  <c r="H101" i="7"/>
  <c r="F101" i="7"/>
  <c r="V101" i="7"/>
  <c r="T101" i="7"/>
  <c r="R101" i="7"/>
  <c r="U101" i="7"/>
  <c r="S101" i="7"/>
  <c r="Q101" i="7"/>
  <c r="E101" i="7"/>
  <c r="D101" i="7"/>
  <c r="C101" i="7"/>
  <c r="B101" i="7"/>
  <c r="J100" i="7"/>
  <c r="I100" i="7"/>
  <c r="H100" i="7"/>
  <c r="F100" i="7"/>
  <c r="V100" i="7"/>
  <c r="T100" i="7"/>
  <c r="R100" i="7"/>
  <c r="U100" i="7"/>
  <c r="S100" i="7"/>
  <c r="Q100" i="7"/>
  <c r="E100" i="7"/>
  <c r="D100" i="7"/>
  <c r="C100" i="7"/>
  <c r="B100" i="7"/>
  <c r="J99" i="7"/>
  <c r="I99" i="7"/>
  <c r="H99" i="7"/>
  <c r="F99" i="7"/>
  <c r="V99" i="7"/>
  <c r="T99" i="7"/>
  <c r="R99" i="7"/>
  <c r="U99" i="7"/>
  <c r="S99" i="7"/>
  <c r="Q99" i="7"/>
  <c r="E99" i="7"/>
  <c r="D99" i="7"/>
  <c r="B99" i="7"/>
  <c r="J98" i="7"/>
  <c r="I98" i="7"/>
  <c r="H98" i="7"/>
  <c r="F98" i="7"/>
  <c r="V98" i="7"/>
  <c r="T98" i="7"/>
  <c r="R98" i="7"/>
  <c r="U98" i="7"/>
  <c r="S98" i="7"/>
  <c r="Q98" i="7"/>
  <c r="E98" i="7"/>
  <c r="D98" i="7"/>
  <c r="B98" i="7"/>
  <c r="J97" i="7"/>
  <c r="I97" i="7"/>
  <c r="H97" i="7"/>
  <c r="F97" i="7"/>
  <c r="V97" i="7"/>
  <c r="T97" i="7"/>
  <c r="R97" i="7"/>
  <c r="U97" i="7"/>
  <c r="S97" i="7"/>
  <c r="Q97" i="7"/>
  <c r="E97" i="7"/>
  <c r="D97" i="7"/>
  <c r="B97" i="7"/>
  <c r="J96" i="7"/>
  <c r="I96" i="7"/>
  <c r="H96" i="7"/>
  <c r="G96" i="7"/>
  <c r="F96" i="7"/>
  <c r="C95" i="7"/>
  <c r="V94" i="7"/>
  <c r="T94" i="7"/>
  <c r="R94" i="7"/>
  <c r="U94" i="7"/>
  <c r="S94" i="7"/>
  <c r="Q94" i="7"/>
  <c r="E94" i="7"/>
  <c r="D94" i="7"/>
  <c r="C94" i="7"/>
  <c r="B94" i="7"/>
  <c r="K92" i="7"/>
  <c r="H92" i="7"/>
  <c r="G92" i="7"/>
  <c r="E92" i="7"/>
  <c r="E91" i="7"/>
  <c r="E90" i="7"/>
  <c r="J89" i="7"/>
  <c r="I89" i="7"/>
  <c r="H89" i="7"/>
  <c r="F89" i="7"/>
  <c r="V89" i="7"/>
  <c r="T89" i="7"/>
  <c r="R89" i="7"/>
  <c r="U89" i="7"/>
  <c r="S89" i="7"/>
  <c r="Q89" i="7"/>
  <c r="E89" i="7"/>
  <c r="D89" i="7"/>
  <c r="B89" i="7"/>
  <c r="J88" i="7"/>
  <c r="I88" i="7"/>
  <c r="H88" i="7"/>
  <c r="F88" i="7"/>
  <c r="V88" i="7"/>
  <c r="T88" i="7"/>
  <c r="R88" i="7"/>
  <c r="U88" i="7"/>
  <c r="S88" i="7"/>
  <c r="Q88" i="7"/>
  <c r="E88" i="7"/>
  <c r="D88" i="7"/>
  <c r="B88" i="7"/>
  <c r="J87" i="7"/>
  <c r="I87" i="7"/>
  <c r="H87" i="7"/>
  <c r="G87" i="7"/>
  <c r="F87" i="7"/>
  <c r="C86" i="7"/>
  <c r="V85" i="7"/>
  <c r="T85" i="7"/>
  <c r="R85" i="7"/>
  <c r="U85" i="7"/>
  <c r="S85" i="7"/>
  <c r="Q85" i="7"/>
  <c r="E85" i="7"/>
  <c r="D85" i="7"/>
  <c r="C85" i="7"/>
  <c r="B85" i="7"/>
  <c r="K83" i="7"/>
  <c r="H83" i="7"/>
  <c r="G83" i="7"/>
  <c r="E83" i="7"/>
  <c r="E82" i="7"/>
  <c r="E81" i="7"/>
  <c r="E80" i="7"/>
  <c r="J79" i="7"/>
  <c r="I79" i="7"/>
  <c r="H79" i="7"/>
  <c r="F79" i="7"/>
  <c r="V79" i="7"/>
  <c r="T79" i="7"/>
  <c r="R79" i="7"/>
  <c r="U79" i="7"/>
  <c r="S79" i="7"/>
  <c r="Q79" i="7"/>
  <c r="E79" i="7"/>
  <c r="D79" i="7"/>
  <c r="C79" i="7"/>
  <c r="B79" i="7"/>
  <c r="J78" i="7"/>
  <c r="I78" i="7"/>
  <c r="H78" i="7"/>
  <c r="F78" i="7"/>
  <c r="V78" i="7"/>
  <c r="T78" i="7"/>
  <c r="R78" i="7"/>
  <c r="U78" i="7"/>
  <c r="S78" i="7"/>
  <c r="Q78" i="7"/>
  <c r="E78" i="7"/>
  <c r="D78" i="7"/>
  <c r="C78" i="7"/>
  <c r="B78" i="7"/>
  <c r="J77" i="7"/>
  <c r="I77" i="7"/>
  <c r="H77" i="7"/>
  <c r="G77" i="7"/>
  <c r="F77" i="7"/>
  <c r="J76" i="7"/>
  <c r="I76" i="7"/>
  <c r="H76" i="7"/>
  <c r="G76" i="7"/>
  <c r="F76" i="7"/>
  <c r="J75" i="7"/>
  <c r="I75" i="7"/>
  <c r="H75" i="7"/>
  <c r="G75" i="7"/>
  <c r="F75" i="7"/>
  <c r="J74" i="7"/>
  <c r="I74" i="7"/>
  <c r="H74" i="7"/>
  <c r="G74" i="7"/>
  <c r="F74" i="7"/>
  <c r="C73" i="7"/>
  <c r="V72" i="7"/>
  <c r="T72" i="7"/>
  <c r="R72" i="7"/>
  <c r="U72" i="7"/>
  <c r="S72" i="7"/>
  <c r="Q72" i="7"/>
  <c r="E72" i="7"/>
  <c r="D72" i="7"/>
  <c r="C72" i="7"/>
  <c r="B72" i="7"/>
  <c r="K70" i="7"/>
  <c r="H70" i="7"/>
  <c r="G70" i="7"/>
  <c r="E70" i="7"/>
  <c r="E69" i="7"/>
  <c r="E68" i="7"/>
  <c r="E67" i="7"/>
  <c r="J66" i="7"/>
  <c r="I66" i="7"/>
  <c r="H66" i="7"/>
  <c r="F66" i="7"/>
  <c r="V66" i="7"/>
  <c r="T66" i="7"/>
  <c r="R66" i="7"/>
  <c r="U66" i="7"/>
  <c r="S66" i="7"/>
  <c r="Q66" i="7"/>
  <c r="E66" i="7"/>
  <c r="D66" i="7"/>
  <c r="B66" i="7"/>
  <c r="J65" i="7"/>
  <c r="I65" i="7"/>
  <c r="H65" i="7"/>
  <c r="F65" i="7"/>
  <c r="V65" i="7"/>
  <c r="T65" i="7"/>
  <c r="R65" i="7"/>
  <c r="U65" i="7"/>
  <c r="S65" i="7"/>
  <c r="Q65" i="7"/>
  <c r="E65" i="7"/>
  <c r="D65" i="7"/>
  <c r="C65" i="7"/>
  <c r="B65" i="7"/>
  <c r="J64" i="7"/>
  <c r="I64" i="7"/>
  <c r="H64" i="7"/>
  <c r="G64" i="7"/>
  <c r="F64" i="7"/>
  <c r="J63" i="7"/>
  <c r="I63" i="7"/>
  <c r="H63" i="7"/>
  <c r="G63" i="7"/>
  <c r="F63" i="7"/>
  <c r="J62" i="7"/>
  <c r="I62" i="7"/>
  <c r="H62" i="7"/>
  <c r="G62" i="7"/>
  <c r="F62" i="7"/>
  <c r="J61" i="7"/>
  <c r="I61" i="7"/>
  <c r="H61" i="7"/>
  <c r="G61" i="7"/>
  <c r="F61" i="7"/>
  <c r="C60" i="7"/>
  <c r="V59" i="7"/>
  <c r="T59" i="7"/>
  <c r="R59" i="7"/>
  <c r="U59" i="7"/>
  <c r="S59" i="7"/>
  <c r="Q59" i="7"/>
  <c r="E59" i="7"/>
  <c r="D59" i="7"/>
  <c r="C59" i="7"/>
  <c r="B59" i="7"/>
  <c r="K57" i="7"/>
  <c r="H57" i="7"/>
  <c r="G57" i="7"/>
  <c r="E57" i="7"/>
  <c r="E56" i="7"/>
  <c r="E55" i="7"/>
  <c r="J54" i="7"/>
  <c r="I54" i="7"/>
  <c r="H54" i="7"/>
  <c r="F54" i="7"/>
  <c r="V54" i="7"/>
  <c r="T54" i="7"/>
  <c r="R54" i="7"/>
  <c r="U54" i="7"/>
  <c r="S54" i="7"/>
  <c r="Q54" i="7"/>
  <c r="E54" i="7"/>
  <c r="D54" i="7"/>
  <c r="B54" i="7"/>
  <c r="J53" i="7"/>
  <c r="I53" i="7"/>
  <c r="H53" i="7"/>
  <c r="F53" i="7"/>
  <c r="V53" i="7"/>
  <c r="T53" i="7"/>
  <c r="R53" i="7"/>
  <c r="U53" i="7"/>
  <c r="S53" i="7"/>
  <c r="Q53" i="7"/>
  <c r="E53" i="7"/>
  <c r="D53" i="7"/>
  <c r="B53" i="7"/>
  <c r="J52" i="7"/>
  <c r="I52" i="7"/>
  <c r="H52" i="7"/>
  <c r="F52" i="7"/>
  <c r="V52" i="7"/>
  <c r="T52" i="7"/>
  <c r="R52" i="7"/>
  <c r="U52" i="7"/>
  <c r="S52" i="7"/>
  <c r="Q52" i="7"/>
  <c r="E52" i="7"/>
  <c r="D52" i="7"/>
  <c r="B52" i="7"/>
  <c r="J51" i="7"/>
  <c r="I51" i="7"/>
  <c r="H51" i="7"/>
  <c r="F51" i="7"/>
  <c r="V51" i="7"/>
  <c r="T51" i="7"/>
  <c r="R51" i="7"/>
  <c r="U51" i="7"/>
  <c r="S51" i="7"/>
  <c r="Q51" i="7"/>
  <c r="E51" i="7"/>
  <c r="D51" i="7"/>
  <c r="B51" i="7"/>
  <c r="J50" i="7"/>
  <c r="I50" i="7"/>
  <c r="H50" i="7"/>
  <c r="F50" i="7"/>
  <c r="V50" i="7"/>
  <c r="T50" i="7"/>
  <c r="R50" i="7"/>
  <c r="U50" i="7"/>
  <c r="S50" i="7"/>
  <c r="Q50" i="7"/>
  <c r="E50" i="7"/>
  <c r="D50" i="7"/>
  <c r="B50" i="7"/>
  <c r="J49" i="7"/>
  <c r="I49" i="7"/>
  <c r="H49" i="7"/>
  <c r="G49" i="7"/>
  <c r="F49" i="7"/>
  <c r="V48" i="7"/>
  <c r="T48" i="7"/>
  <c r="R48" i="7"/>
  <c r="U48" i="7"/>
  <c r="S48" i="7"/>
  <c r="Q48" i="7"/>
  <c r="E48" i="7"/>
  <c r="D48" i="7"/>
  <c r="C48" i="7"/>
  <c r="B48" i="7"/>
  <c r="K46" i="7"/>
  <c r="H46" i="7"/>
  <c r="G46" i="7"/>
  <c r="E46" i="7"/>
  <c r="E45" i="7"/>
  <c r="E44" i="7"/>
  <c r="E43" i="7"/>
  <c r="J42" i="7"/>
  <c r="I42" i="7"/>
  <c r="H42" i="7"/>
  <c r="F42" i="7"/>
  <c r="V42" i="7"/>
  <c r="T42" i="7"/>
  <c r="R42" i="7"/>
  <c r="U42" i="7"/>
  <c r="S42" i="7"/>
  <c r="Q42" i="7"/>
  <c r="E42" i="7"/>
  <c r="D42" i="7"/>
  <c r="B42" i="7"/>
  <c r="J41" i="7"/>
  <c r="I41" i="7"/>
  <c r="H41" i="7"/>
  <c r="G41" i="7"/>
  <c r="F41" i="7"/>
  <c r="J40" i="7"/>
  <c r="I40" i="7"/>
  <c r="H40" i="7"/>
  <c r="G40" i="7"/>
  <c r="F40" i="7"/>
  <c r="J39" i="7"/>
  <c r="I39" i="7"/>
  <c r="H39" i="7"/>
  <c r="G39" i="7"/>
  <c r="F39" i="7"/>
  <c r="V38" i="7"/>
  <c r="J45" i="7" s="1"/>
  <c r="T38" i="7"/>
  <c r="J44" i="7" s="1"/>
  <c r="R38" i="7"/>
  <c r="J43" i="7" s="1"/>
  <c r="U38" i="7"/>
  <c r="S38" i="7"/>
  <c r="Q38" i="7"/>
  <c r="E38" i="7"/>
  <c r="D38" i="7"/>
  <c r="C38" i="7"/>
  <c r="B38" i="7"/>
  <c r="A37" i="7"/>
  <c r="A35" i="7"/>
  <c r="A21" i="7"/>
  <c r="A18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1" i="3"/>
  <c r="Y1" i="3"/>
  <c r="CU1" i="3"/>
  <c r="CY1" i="3"/>
  <c r="CZ1" i="3"/>
  <c r="DA1" i="3"/>
  <c r="DB1" i="3"/>
  <c r="DC1" i="3"/>
  <c r="A2" i="3"/>
  <c r="Y2" i="3"/>
  <c r="CW2" i="3"/>
  <c r="CX2" i="3"/>
  <c r="CY2" i="3"/>
  <c r="CZ2" i="3"/>
  <c r="DB2" i="3" s="1"/>
  <c r="DA2" i="3"/>
  <c r="DC2" i="3"/>
  <c r="DF2" i="3"/>
  <c r="DI2" i="3"/>
  <c r="A3" i="3"/>
  <c r="Y3" i="3"/>
  <c r="CX3" i="3"/>
  <c r="CY3" i="3"/>
  <c r="CZ3" i="3"/>
  <c r="DA3" i="3"/>
  <c r="DB3" i="3"/>
  <c r="DC3" i="3"/>
  <c r="DF3" i="3"/>
  <c r="DG3" i="3"/>
  <c r="DH3" i="3"/>
  <c r="DI3" i="3"/>
  <c r="DJ3" i="3"/>
  <c r="A4" i="3"/>
  <c r="Y4" i="3"/>
  <c r="CU4" i="3"/>
  <c r="CV4" i="3"/>
  <c r="CX4" i="3"/>
  <c r="CY4" i="3"/>
  <c r="CZ4" i="3"/>
  <c r="DA4" i="3"/>
  <c r="DB4" i="3"/>
  <c r="DC4" i="3"/>
  <c r="A5" i="3"/>
  <c r="Y5" i="3"/>
  <c r="CX5" i="3"/>
  <c r="CY5" i="3"/>
  <c r="CZ5" i="3"/>
  <c r="DA5" i="3"/>
  <c r="DB5" i="3"/>
  <c r="DC5" i="3"/>
  <c r="DF5" i="3"/>
  <c r="DJ5" i="3" s="1"/>
  <c r="DG5" i="3"/>
  <c r="DH5" i="3"/>
  <c r="DI5" i="3"/>
  <c r="A6" i="3"/>
  <c r="Y6" i="3"/>
  <c r="CX6" i="3"/>
  <c r="CY6" i="3"/>
  <c r="CZ6" i="3"/>
  <c r="DB6" i="3" s="1"/>
  <c r="DA6" i="3"/>
  <c r="DC6" i="3"/>
  <c r="DF6" i="3"/>
  <c r="DJ6" i="3"/>
  <c r="A7" i="3"/>
  <c r="Y7" i="3"/>
  <c r="CX7" i="3"/>
  <c r="CY7" i="3"/>
  <c r="CZ7" i="3"/>
  <c r="DA7" i="3"/>
  <c r="DB7" i="3"/>
  <c r="DC7" i="3"/>
  <c r="DH7" i="3"/>
  <c r="A8" i="3"/>
  <c r="Y8" i="3"/>
  <c r="CX8" i="3"/>
  <c r="CY8" i="3"/>
  <c r="CZ8" i="3"/>
  <c r="DA8" i="3"/>
  <c r="DB8" i="3"/>
  <c r="DC8" i="3"/>
  <c r="DI8" i="3"/>
  <c r="A9" i="3"/>
  <c r="Y9" i="3"/>
  <c r="CX9" i="3" s="1"/>
  <c r="CY9" i="3"/>
  <c r="CZ9" i="3"/>
  <c r="DA9" i="3"/>
  <c r="DB9" i="3"/>
  <c r="DC9" i="3"/>
  <c r="A10" i="3"/>
  <c r="Y10" i="3"/>
  <c r="CV10" i="3"/>
  <c r="CX10" i="3"/>
  <c r="DI10" i="3" s="1"/>
  <c r="DJ10" i="3" s="1"/>
  <c r="CY10" i="3"/>
  <c r="CZ10" i="3"/>
  <c r="DA10" i="3"/>
  <c r="DB10" i="3"/>
  <c r="DC10" i="3"/>
  <c r="DF10" i="3"/>
  <c r="DG10" i="3"/>
  <c r="DH10" i="3"/>
  <c r="A11" i="3"/>
  <c r="Y11" i="3"/>
  <c r="CY11" i="3"/>
  <c r="CZ11" i="3"/>
  <c r="DA11" i="3"/>
  <c r="DB11" i="3"/>
  <c r="DC11" i="3"/>
  <c r="A12" i="3"/>
  <c r="Y12" i="3"/>
  <c r="CX12" i="3"/>
  <c r="CY12" i="3"/>
  <c r="CZ12" i="3"/>
  <c r="DB12" i="3" s="1"/>
  <c r="DA12" i="3"/>
  <c r="DC12" i="3"/>
  <c r="DF12" i="3"/>
  <c r="DJ12" i="3" s="1"/>
  <c r="DG12" i="3"/>
  <c r="DH12" i="3"/>
  <c r="DI12" i="3"/>
  <c r="A13" i="3"/>
  <c r="Y13" i="3"/>
  <c r="CY13" i="3"/>
  <c r="CZ13" i="3"/>
  <c r="DA13" i="3"/>
  <c r="DB13" i="3"/>
  <c r="DC13" i="3"/>
  <c r="A14" i="3"/>
  <c r="Y14" i="3"/>
  <c r="CX14" i="3" s="1"/>
  <c r="DI14" i="3" s="1"/>
  <c r="CY14" i="3"/>
  <c r="CZ14" i="3"/>
  <c r="DA14" i="3"/>
  <c r="DB14" i="3"/>
  <c r="DC14" i="3"/>
  <c r="DF14" i="3"/>
  <c r="DJ14" i="3" s="1"/>
  <c r="DG14" i="3"/>
  <c r="DH14" i="3"/>
  <c r="A15" i="3"/>
  <c r="Y15" i="3"/>
  <c r="CY15" i="3"/>
  <c r="CZ15" i="3"/>
  <c r="DB15" i="3" s="1"/>
  <c r="DA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W22" i="3"/>
  <c r="CX22" i="3"/>
  <c r="CY22" i="3"/>
  <c r="CZ22" i="3"/>
  <c r="DA22" i="3"/>
  <c r="DB22" i="3"/>
  <c r="DC22" i="3"/>
  <c r="DF22" i="3"/>
  <c r="A23" i="3"/>
  <c r="Y23" i="3"/>
  <c r="CX23" i="3"/>
  <c r="CY23" i="3"/>
  <c r="CZ23" i="3"/>
  <c r="DB23" i="3" s="1"/>
  <c r="DA23" i="3"/>
  <c r="DC23" i="3"/>
  <c r="A24" i="3"/>
  <c r="Y24" i="3"/>
  <c r="CX24" i="3"/>
  <c r="CY24" i="3"/>
  <c r="CZ24" i="3"/>
  <c r="DB24" i="3" s="1"/>
  <c r="DA24" i="3"/>
  <c r="DC24" i="3"/>
  <c r="A25" i="3"/>
  <c r="Y25" i="3"/>
  <c r="CX25" i="3" s="1"/>
  <c r="CY25" i="3"/>
  <c r="CZ25" i="3"/>
  <c r="DB25" i="3" s="1"/>
  <c r="DA25" i="3"/>
  <c r="DC25" i="3"/>
  <c r="A26" i="3"/>
  <c r="Y26" i="3"/>
  <c r="CX26" i="3"/>
  <c r="CY26" i="3"/>
  <c r="CZ26" i="3"/>
  <c r="DB26" i="3" s="1"/>
  <c r="DA26" i="3"/>
  <c r="DC26" i="3"/>
  <c r="DF26" i="3"/>
  <c r="DJ26" i="3" s="1"/>
  <c r="DG26" i="3"/>
  <c r="DH26" i="3"/>
  <c r="DI26" i="3"/>
  <c r="A27" i="3"/>
  <c r="Y27" i="3"/>
  <c r="CY27" i="3"/>
  <c r="CZ27" i="3"/>
  <c r="DB27" i="3" s="1"/>
  <c r="DA27" i="3"/>
  <c r="DC27" i="3"/>
  <c r="A28" i="3"/>
  <c r="Y28" i="3"/>
  <c r="CX28" i="3"/>
  <c r="DH28" i="3" s="1"/>
  <c r="CY28" i="3"/>
  <c r="CZ28" i="3"/>
  <c r="DA28" i="3"/>
  <c r="DB28" i="3"/>
  <c r="DC28" i="3"/>
  <c r="DF28" i="3"/>
  <c r="DJ28" i="3" s="1"/>
  <c r="DG28" i="3"/>
  <c r="DI28" i="3"/>
  <c r="A29" i="3"/>
  <c r="Y29" i="3"/>
  <c r="CX29" i="3" s="1"/>
  <c r="CY29" i="3"/>
  <c r="CZ29" i="3"/>
  <c r="DA29" i="3"/>
  <c r="DB29" i="3"/>
  <c r="DC29" i="3"/>
  <c r="DH29" i="3"/>
  <c r="DI29" i="3"/>
  <c r="A30" i="3"/>
  <c r="Y30" i="3"/>
  <c r="CV30" i="3"/>
  <c r="CX30" i="3"/>
  <c r="CY30" i="3"/>
  <c r="CZ30" i="3"/>
  <c r="DA30" i="3"/>
  <c r="DB30" i="3"/>
  <c r="DC30" i="3"/>
  <c r="DH30" i="3"/>
  <c r="DI30" i="3"/>
  <c r="DJ30" i="3"/>
  <c r="A31" i="3"/>
  <c r="Y31" i="3"/>
  <c r="CX31" i="3" s="1"/>
  <c r="CY31" i="3"/>
  <c r="CZ31" i="3"/>
  <c r="DA31" i="3"/>
  <c r="DB31" i="3"/>
  <c r="DC31" i="3"/>
  <c r="A32" i="3"/>
  <c r="Y32" i="3"/>
  <c r="CX32" i="3"/>
  <c r="DG32" i="3" s="1"/>
  <c r="CY32" i="3"/>
  <c r="CZ32" i="3"/>
  <c r="DA32" i="3"/>
  <c r="DB32" i="3"/>
  <c r="DC32" i="3"/>
  <c r="DF32" i="3"/>
  <c r="DH32" i="3"/>
  <c r="DI32" i="3"/>
  <c r="DJ32" i="3"/>
  <c r="A33" i="3"/>
  <c r="Y33" i="3"/>
  <c r="CY33" i="3"/>
  <c r="CZ33" i="3"/>
  <c r="DB33" i="3" s="1"/>
  <c r="DA33" i="3"/>
  <c r="DC33" i="3"/>
  <c r="A34" i="3"/>
  <c r="Y34" i="3"/>
  <c r="CY34" i="3"/>
  <c r="CZ34" i="3"/>
  <c r="DB34" i="3" s="1"/>
  <c r="DA34" i="3"/>
  <c r="DC34" i="3"/>
  <c r="A35" i="3"/>
  <c r="Y35" i="3"/>
  <c r="CX35" i="3" s="1"/>
  <c r="CY35" i="3"/>
  <c r="CZ35" i="3"/>
  <c r="DB35" i="3" s="1"/>
  <c r="DA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A38" i="3"/>
  <c r="DB38" i="3"/>
  <c r="DC38" i="3"/>
  <c r="A39" i="3"/>
  <c r="Y39" i="3"/>
  <c r="CU39" i="3"/>
  <c r="CV39" i="3"/>
  <c r="CX39" i="3"/>
  <c r="CY39" i="3"/>
  <c r="CZ39" i="3"/>
  <c r="DB39" i="3" s="1"/>
  <c r="DA39" i="3"/>
  <c r="DC39" i="3"/>
  <c r="A40" i="3"/>
  <c r="Y40" i="3"/>
  <c r="CX40" i="3"/>
  <c r="CY40" i="3"/>
  <c r="CZ40" i="3"/>
  <c r="DB40" i="3" s="1"/>
  <c r="DA40" i="3"/>
  <c r="DC40" i="3"/>
  <c r="A41" i="3"/>
  <c r="Y41" i="3"/>
  <c r="CX41" i="3"/>
  <c r="CY41" i="3"/>
  <c r="CZ41" i="3"/>
  <c r="DB41" i="3" s="1"/>
  <c r="DA41" i="3"/>
  <c r="DC41" i="3"/>
  <c r="DF41" i="3"/>
  <c r="DG41" i="3"/>
  <c r="DH41" i="3"/>
  <c r="DI41" i="3"/>
  <c r="DJ41" i="3"/>
  <c r="A42" i="3"/>
  <c r="Y42" i="3"/>
  <c r="CV42" i="3" s="1"/>
  <c r="CX42" i="3"/>
  <c r="CY42" i="3"/>
  <c r="CZ42" i="3"/>
  <c r="DB42" i="3" s="1"/>
  <c r="DA42" i="3"/>
  <c r="DC42" i="3"/>
  <c r="A43" i="3"/>
  <c r="Y43" i="3"/>
  <c r="CX43" i="3" s="1"/>
  <c r="CW43" i="3"/>
  <c r="CY43" i="3"/>
  <c r="CZ43" i="3"/>
  <c r="DB43" i="3" s="1"/>
  <c r="DA43" i="3"/>
  <c r="DC43" i="3"/>
  <c r="DH43" i="3"/>
  <c r="DI43" i="3"/>
  <c r="A44" i="3"/>
  <c r="Y44" i="3"/>
  <c r="CX44" i="3"/>
  <c r="CY44" i="3"/>
  <c r="CZ44" i="3"/>
  <c r="DB44" i="3" s="1"/>
  <c r="DA44" i="3"/>
  <c r="DC44" i="3"/>
  <c r="A45" i="3"/>
  <c r="Y45" i="3"/>
  <c r="CX45" i="3" s="1"/>
  <c r="CU45" i="3"/>
  <c r="CV45" i="3"/>
  <c r="CY45" i="3"/>
  <c r="CZ45" i="3"/>
  <c r="DA45" i="3"/>
  <c r="DB45" i="3"/>
  <c r="DC45" i="3"/>
  <c r="DG45" i="3"/>
  <c r="DH45" i="3"/>
  <c r="A46" i="3"/>
  <c r="Y46" i="3"/>
  <c r="CY46" i="3"/>
  <c r="CZ46" i="3"/>
  <c r="DB46" i="3" s="1"/>
  <c r="DA46" i="3"/>
  <c r="DC46" i="3"/>
  <c r="A47" i="3"/>
  <c r="Y47" i="3"/>
  <c r="CX47" i="3"/>
  <c r="CY47" i="3"/>
  <c r="CZ47" i="3"/>
  <c r="DA47" i="3"/>
  <c r="DB47" i="3"/>
  <c r="DC47" i="3"/>
  <c r="DG47" i="3"/>
  <c r="DH47" i="3"/>
  <c r="A48" i="3"/>
  <c r="Y48" i="3"/>
  <c r="CU48" i="3"/>
  <c r="CV48" i="3"/>
  <c r="CX48" i="3"/>
  <c r="CY48" i="3"/>
  <c r="CZ48" i="3"/>
  <c r="DA48" i="3"/>
  <c r="DB48" i="3"/>
  <c r="DC48" i="3"/>
  <c r="DF48" i="3"/>
  <c r="A49" i="3"/>
  <c r="Y49" i="3"/>
  <c r="CX49" i="3" s="1"/>
  <c r="CY49" i="3"/>
  <c r="CZ49" i="3"/>
  <c r="DB49" i="3" s="1"/>
  <c r="DA49" i="3"/>
  <c r="DC49" i="3"/>
  <c r="DF49" i="3"/>
  <c r="DI49" i="3"/>
  <c r="DJ49" i="3"/>
  <c r="A50" i="3"/>
  <c r="Y50" i="3"/>
  <c r="CY50" i="3"/>
  <c r="CZ50" i="3"/>
  <c r="DA50" i="3"/>
  <c r="DB50" i="3"/>
  <c r="DC50" i="3"/>
  <c r="A51" i="3"/>
  <c r="Y51" i="3"/>
  <c r="CY51" i="3"/>
  <c r="CZ51" i="3"/>
  <c r="DB51" i="3" s="1"/>
  <c r="DA51" i="3"/>
  <c r="DC51" i="3"/>
  <c r="A52" i="3"/>
  <c r="Y52" i="3"/>
  <c r="CY52" i="3"/>
  <c r="CZ52" i="3"/>
  <c r="DA52" i="3"/>
  <c r="DB52" i="3"/>
  <c r="DC52" i="3"/>
  <c r="A53" i="3"/>
  <c r="Y53" i="3"/>
  <c r="CY53" i="3"/>
  <c r="CZ53" i="3"/>
  <c r="DB53" i="3" s="1"/>
  <c r="DA53" i="3"/>
  <c r="DC53" i="3"/>
  <c r="A54" i="3"/>
  <c r="Y54" i="3"/>
  <c r="CY54" i="3"/>
  <c r="CZ54" i="3"/>
  <c r="DA54" i="3"/>
  <c r="DB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B56" i="3" s="1"/>
  <c r="DA56" i="3"/>
  <c r="DC56" i="3"/>
  <c r="A57" i="3"/>
  <c r="Y57" i="3"/>
  <c r="CY57" i="3"/>
  <c r="CZ57" i="3"/>
  <c r="DA57" i="3"/>
  <c r="DB57" i="3"/>
  <c r="DC57" i="3"/>
  <c r="A58" i="3"/>
  <c r="Y58" i="3"/>
  <c r="CY58" i="3"/>
  <c r="CZ58" i="3"/>
  <c r="DA58" i="3"/>
  <c r="DB58" i="3"/>
  <c r="DC58" i="3"/>
  <c r="A59" i="3"/>
  <c r="Y59" i="3"/>
  <c r="CU59" i="3"/>
  <c r="CY59" i="3"/>
  <c r="CZ59" i="3"/>
  <c r="DA59" i="3"/>
  <c r="DB59" i="3"/>
  <c r="DC59" i="3"/>
  <c r="A60" i="3"/>
  <c r="Y60" i="3"/>
  <c r="CX60" i="3"/>
  <c r="DF60" i="3" s="1"/>
  <c r="CY60" i="3"/>
  <c r="CZ60" i="3"/>
  <c r="DB60" i="3" s="1"/>
  <c r="DA60" i="3"/>
  <c r="DC60" i="3"/>
  <c r="DG60" i="3"/>
  <c r="DH60" i="3"/>
  <c r="DI60" i="3"/>
  <c r="DJ60" i="3"/>
  <c r="A61" i="3"/>
  <c r="Y61" i="3"/>
  <c r="CW61" i="3"/>
  <c r="CX61" i="3"/>
  <c r="CY61" i="3"/>
  <c r="CZ61" i="3"/>
  <c r="DA61" i="3"/>
  <c r="DB61" i="3"/>
  <c r="DC61" i="3"/>
  <c r="DG61" i="3"/>
  <c r="DJ61" i="3"/>
  <c r="A62" i="3"/>
  <c r="Y62" i="3"/>
  <c r="CX62" i="3" s="1"/>
  <c r="DG62" i="3" s="1"/>
  <c r="CY62" i="3"/>
  <c r="CZ62" i="3"/>
  <c r="DA62" i="3"/>
  <c r="DB62" i="3"/>
  <c r="DC62" i="3"/>
  <c r="DF62" i="3"/>
  <c r="DJ62" i="3" s="1"/>
  <c r="DH62" i="3"/>
  <c r="DI62" i="3"/>
  <c r="A63" i="3"/>
  <c r="Y63" i="3"/>
  <c r="CX63" i="3"/>
  <c r="CY63" i="3"/>
  <c r="CZ63" i="3"/>
  <c r="DA63" i="3"/>
  <c r="DB63" i="3"/>
  <c r="DC63" i="3"/>
  <c r="A64" i="3"/>
  <c r="Y64" i="3"/>
  <c r="CX64" i="3"/>
  <c r="CY64" i="3"/>
  <c r="CZ64" i="3"/>
  <c r="DB64" i="3" s="1"/>
  <c r="DA64" i="3"/>
  <c r="DC64" i="3"/>
  <c r="DH64" i="3"/>
  <c r="DI64" i="3"/>
  <c r="A65" i="3"/>
  <c r="Y65" i="3"/>
  <c r="CX65" i="3"/>
  <c r="CY65" i="3"/>
  <c r="CZ65" i="3"/>
  <c r="DA65" i="3"/>
  <c r="DB65" i="3"/>
  <c r="DC65" i="3"/>
  <c r="A66" i="3"/>
  <c r="Y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Y67" i="3"/>
  <c r="CZ67" i="3"/>
  <c r="DB67" i="3" s="1"/>
  <c r="DA67" i="3"/>
  <c r="DC67" i="3"/>
  <c r="A68" i="3"/>
  <c r="Y68" i="3"/>
  <c r="CY68" i="3"/>
  <c r="CZ68" i="3"/>
  <c r="DA68" i="3"/>
  <c r="DB68" i="3"/>
  <c r="DC68" i="3"/>
  <c r="A69" i="3"/>
  <c r="Y69" i="3"/>
  <c r="CY69" i="3"/>
  <c r="CZ69" i="3"/>
  <c r="DB69" i="3" s="1"/>
  <c r="DA69" i="3"/>
  <c r="DC69" i="3"/>
  <c r="A70" i="3"/>
  <c r="Y70" i="3"/>
  <c r="CX70" i="3" s="1"/>
  <c r="CW70" i="3"/>
  <c r="CY70" i="3"/>
  <c r="CZ70" i="3"/>
  <c r="DB70" i="3" s="1"/>
  <c r="DA70" i="3"/>
  <c r="DC70" i="3"/>
  <c r="A71" i="3"/>
  <c r="Y71" i="3"/>
  <c r="CY71" i="3"/>
  <c r="CZ71" i="3"/>
  <c r="DB71" i="3" s="1"/>
  <c r="DA71" i="3"/>
  <c r="DC71" i="3"/>
  <c r="A72" i="3"/>
  <c r="Y72" i="3"/>
  <c r="CY72" i="3"/>
  <c r="CZ72" i="3"/>
  <c r="DA72" i="3"/>
  <c r="DB72" i="3"/>
  <c r="DC72" i="3"/>
  <c r="A73" i="3"/>
  <c r="Y73" i="3"/>
  <c r="CY73" i="3"/>
  <c r="CZ73" i="3"/>
  <c r="DB73" i="3" s="1"/>
  <c r="DA73" i="3"/>
  <c r="DC73" i="3"/>
  <c r="A74" i="3"/>
  <c r="Y74" i="3"/>
  <c r="CY74" i="3"/>
  <c r="CZ74" i="3"/>
  <c r="DB74" i="3" s="1"/>
  <c r="DA74" i="3"/>
  <c r="DC74" i="3"/>
  <c r="A75" i="3"/>
  <c r="Y75" i="3"/>
  <c r="CX75" i="3"/>
  <c r="CY75" i="3"/>
  <c r="CZ75" i="3"/>
  <c r="DB75" i="3" s="1"/>
  <c r="DA75" i="3"/>
  <c r="DC75" i="3"/>
  <c r="A76" i="3"/>
  <c r="Y76" i="3"/>
  <c r="CY76" i="3"/>
  <c r="CZ76" i="3"/>
  <c r="DA76" i="3"/>
  <c r="DB76" i="3"/>
  <c r="DC76" i="3"/>
  <c r="A77" i="3"/>
  <c r="Y77" i="3"/>
  <c r="CU77" i="3"/>
  <c r="CV77" i="3"/>
  <c r="CX77" i="3"/>
  <c r="CY77" i="3"/>
  <c r="CZ77" i="3"/>
  <c r="DA77" i="3"/>
  <c r="DB77" i="3"/>
  <c r="DC77" i="3"/>
  <c r="A78" i="3"/>
  <c r="Y78" i="3"/>
  <c r="CW78" i="3" s="1"/>
  <c r="CX78" i="3"/>
  <c r="CY78" i="3"/>
  <c r="CZ78" i="3"/>
  <c r="DB78" i="3" s="1"/>
  <c r="DA78" i="3"/>
  <c r="DC78" i="3"/>
  <c r="DF78" i="3"/>
  <c r="DG78" i="3"/>
  <c r="DH78" i="3"/>
  <c r="DI78" i="3"/>
  <c r="DJ78" i="3"/>
  <c r="A79" i="3"/>
  <c r="Y79" i="3"/>
  <c r="CX79" i="3" s="1"/>
  <c r="CY79" i="3"/>
  <c r="CZ79" i="3"/>
  <c r="DA79" i="3"/>
  <c r="DB79" i="3"/>
  <c r="DC79" i="3"/>
  <c r="A80" i="3"/>
  <c r="Y80" i="3"/>
  <c r="CY80" i="3"/>
  <c r="CZ80" i="3"/>
  <c r="DA80" i="3"/>
  <c r="DB80" i="3"/>
  <c r="DC80" i="3"/>
  <c r="A81" i="3"/>
  <c r="Y81" i="3"/>
  <c r="CX81" i="3"/>
  <c r="CY81" i="3"/>
  <c r="CZ81" i="3"/>
  <c r="DA81" i="3"/>
  <c r="DB81" i="3"/>
  <c r="DC81" i="3"/>
  <c r="D12" i="1"/>
  <c r="E18" i="1"/>
  <c r="F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F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B26" i="1"/>
  <c r="C26" i="1"/>
  <c r="D26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U28" i="1"/>
  <c r="AC28" i="1"/>
  <c r="AE28" i="1"/>
  <c r="CS28" i="1" s="1"/>
  <c r="R28" i="1" s="1"/>
  <c r="GK28" i="1" s="1"/>
  <c r="AF28" i="1"/>
  <c r="CT28" i="1" s="1"/>
  <c r="S28" i="1" s="1"/>
  <c r="AG28" i="1"/>
  <c r="CU28" i="1" s="1"/>
  <c r="T28" i="1" s="1"/>
  <c r="AH28" i="1"/>
  <c r="CV28" i="1" s="1"/>
  <c r="AI28" i="1"/>
  <c r="AJ28" i="1"/>
  <c r="CX28" i="1" s="1"/>
  <c r="W28" i="1" s="1"/>
  <c r="CQ28" i="1"/>
  <c r="P28" i="1" s="1"/>
  <c r="CR28" i="1"/>
  <c r="Q28" i="1" s="1"/>
  <c r="CW28" i="1"/>
  <c r="V28" i="1" s="1"/>
  <c r="GL28" i="1"/>
  <c r="GN28" i="1"/>
  <c r="GO28" i="1"/>
  <c r="GV28" i="1"/>
  <c r="HC28" i="1"/>
  <c r="GX28" i="1" s="1"/>
  <c r="I29" i="1"/>
  <c r="V29" i="1"/>
  <c r="W29" i="1"/>
  <c r="AC29" i="1"/>
  <c r="AE29" i="1"/>
  <c r="AF29" i="1"/>
  <c r="AG29" i="1"/>
  <c r="AH29" i="1"/>
  <c r="CV29" i="1" s="1"/>
  <c r="AI29" i="1"/>
  <c r="CW29" i="1" s="1"/>
  <c r="AJ29" i="1"/>
  <c r="CX29" i="1" s="1"/>
  <c r="CQ29" i="1"/>
  <c r="P29" i="1" s="1"/>
  <c r="CT29" i="1"/>
  <c r="S29" i="1" s="1"/>
  <c r="CY29" i="1" s="1"/>
  <c r="X29" i="1" s="1"/>
  <c r="CU29" i="1"/>
  <c r="T29" i="1" s="1"/>
  <c r="CZ29" i="1"/>
  <c r="Y29" i="1" s="1"/>
  <c r="GL29" i="1"/>
  <c r="BZ86" i="1" s="1"/>
  <c r="GN29" i="1"/>
  <c r="GO29" i="1"/>
  <c r="GV29" i="1"/>
  <c r="HC29" i="1"/>
  <c r="GX29" i="1" s="1"/>
  <c r="C30" i="1"/>
  <c r="D30" i="1"/>
  <c r="AC30" i="1"/>
  <c r="AE30" i="1"/>
  <c r="CS30" i="1" s="1"/>
  <c r="R30" i="1" s="1"/>
  <c r="GK30" i="1" s="1"/>
  <c r="AF30" i="1"/>
  <c r="AG30" i="1"/>
  <c r="AH30" i="1"/>
  <c r="CV30" i="1" s="1"/>
  <c r="U30" i="1" s="1"/>
  <c r="AI30" i="1"/>
  <c r="CW30" i="1" s="1"/>
  <c r="V30" i="1" s="1"/>
  <c r="AJ30" i="1"/>
  <c r="CX30" i="1" s="1"/>
  <c r="W30" i="1" s="1"/>
  <c r="CQ30" i="1"/>
  <c r="P30" i="1" s="1"/>
  <c r="CP30" i="1" s="1"/>
  <c r="O30" i="1" s="1"/>
  <c r="CR30" i="1"/>
  <c r="Q30" i="1" s="1"/>
  <c r="CT30" i="1"/>
  <c r="S30" i="1" s="1"/>
  <c r="CU30" i="1"/>
  <c r="T30" i="1" s="1"/>
  <c r="GL30" i="1"/>
  <c r="GN30" i="1"/>
  <c r="GO30" i="1"/>
  <c r="GV30" i="1"/>
  <c r="HC30" i="1" s="1"/>
  <c r="GX30" i="1"/>
  <c r="I31" i="1"/>
  <c r="U31" i="1"/>
  <c r="AC31" i="1"/>
  <c r="AE31" i="1"/>
  <c r="AF31" i="1"/>
  <c r="AG31" i="1"/>
  <c r="AH31" i="1"/>
  <c r="AI31" i="1"/>
  <c r="CW31" i="1" s="1"/>
  <c r="V31" i="1" s="1"/>
  <c r="AJ31" i="1"/>
  <c r="CX31" i="1" s="1"/>
  <c r="W31" i="1" s="1"/>
  <c r="CT31" i="1"/>
  <c r="S31" i="1" s="1"/>
  <c r="CU31" i="1"/>
  <c r="T31" i="1" s="1"/>
  <c r="CV31" i="1"/>
  <c r="GL31" i="1"/>
  <c r="GN31" i="1"/>
  <c r="GO31" i="1"/>
  <c r="GV31" i="1"/>
  <c r="HC31" i="1"/>
  <c r="GX31" i="1" s="1"/>
  <c r="I32" i="1"/>
  <c r="R32" i="1"/>
  <c r="GK32" i="1" s="1"/>
  <c r="V32" i="1"/>
  <c r="W32" i="1"/>
  <c r="AC32" i="1"/>
  <c r="CQ32" i="1" s="1"/>
  <c r="P32" i="1" s="1"/>
  <c r="AD32" i="1"/>
  <c r="AE32" i="1"/>
  <c r="AF32" i="1"/>
  <c r="AG32" i="1"/>
  <c r="CU32" i="1" s="1"/>
  <c r="T32" i="1" s="1"/>
  <c r="AH32" i="1"/>
  <c r="CV32" i="1" s="1"/>
  <c r="U32" i="1" s="1"/>
  <c r="AI32" i="1"/>
  <c r="CW32" i="1" s="1"/>
  <c r="AJ32" i="1"/>
  <c r="CX32" i="1" s="1"/>
  <c r="CR32" i="1"/>
  <c r="CS32" i="1"/>
  <c r="CT32" i="1"/>
  <c r="GL32" i="1"/>
  <c r="GN32" i="1"/>
  <c r="GO32" i="1"/>
  <c r="GV32" i="1"/>
  <c r="HC32" i="1" s="1"/>
  <c r="GX32" i="1"/>
  <c r="I33" i="1"/>
  <c r="P33" i="1"/>
  <c r="Q33" i="1"/>
  <c r="R33" i="1"/>
  <c r="GK33" i="1" s="1"/>
  <c r="S33" i="1"/>
  <c r="T33" i="1"/>
  <c r="U33" i="1"/>
  <c r="AB33" i="1"/>
  <c r="AC33" i="1"/>
  <c r="CQ33" i="1" s="1"/>
  <c r="AE33" i="1"/>
  <c r="AD33" i="1" s="1"/>
  <c r="AF33" i="1"/>
  <c r="AG33" i="1"/>
  <c r="AH33" i="1"/>
  <c r="AI33" i="1"/>
  <c r="AJ33" i="1"/>
  <c r="CR33" i="1"/>
  <c r="CS33" i="1"/>
  <c r="CT33" i="1"/>
  <c r="CU33" i="1"/>
  <c r="CV33" i="1"/>
  <c r="CW33" i="1"/>
  <c r="V33" i="1" s="1"/>
  <c r="CX33" i="1"/>
  <c r="W33" i="1" s="1"/>
  <c r="GL33" i="1"/>
  <c r="GN33" i="1"/>
  <c r="GO33" i="1"/>
  <c r="CC86" i="1" s="1"/>
  <c r="GV33" i="1"/>
  <c r="HC33" i="1" s="1"/>
  <c r="I34" i="1"/>
  <c r="V34" i="1"/>
  <c r="W34" i="1"/>
  <c r="AC34" i="1"/>
  <c r="AE34" i="1"/>
  <c r="AF34" i="1"/>
  <c r="CT34" i="1" s="1"/>
  <c r="S34" i="1" s="1"/>
  <c r="CY34" i="1" s="1"/>
  <c r="X34" i="1" s="1"/>
  <c r="AG34" i="1"/>
  <c r="CU34" i="1" s="1"/>
  <c r="T34" i="1" s="1"/>
  <c r="AH34" i="1"/>
  <c r="CV34" i="1" s="1"/>
  <c r="U34" i="1" s="1"/>
  <c r="AI34" i="1"/>
  <c r="CW34" i="1" s="1"/>
  <c r="AJ34" i="1"/>
  <c r="CQ34" i="1"/>
  <c r="P34" i="1" s="1"/>
  <c r="CX34" i="1"/>
  <c r="CZ34" i="1"/>
  <c r="Y34" i="1" s="1"/>
  <c r="GL34" i="1"/>
  <c r="GN34" i="1"/>
  <c r="GO34" i="1"/>
  <c r="GV34" i="1"/>
  <c r="HC34" i="1"/>
  <c r="GX34" i="1" s="1"/>
  <c r="I35" i="1"/>
  <c r="AC35" i="1"/>
  <c r="CQ35" i="1" s="1"/>
  <c r="AE35" i="1"/>
  <c r="AF35" i="1"/>
  <c r="AG35" i="1"/>
  <c r="AH35" i="1"/>
  <c r="CV35" i="1" s="1"/>
  <c r="AI35" i="1"/>
  <c r="AJ35" i="1"/>
  <c r="CT35" i="1"/>
  <c r="CU35" i="1"/>
  <c r="CW35" i="1"/>
  <c r="CX35" i="1"/>
  <c r="GL35" i="1"/>
  <c r="GN35" i="1"/>
  <c r="GO35" i="1"/>
  <c r="GV35" i="1"/>
  <c r="HC35" i="1"/>
  <c r="C36" i="1"/>
  <c r="D36" i="1"/>
  <c r="I36" i="1"/>
  <c r="K36" i="1"/>
  <c r="AC36" i="1"/>
  <c r="AE36" i="1"/>
  <c r="AF36" i="1"/>
  <c r="CT36" i="1" s="1"/>
  <c r="S36" i="1" s="1"/>
  <c r="AG36" i="1"/>
  <c r="CU36" i="1" s="1"/>
  <c r="T36" i="1" s="1"/>
  <c r="AH36" i="1"/>
  <c r="AI36" i="1"/>
  <c r="CW36" i="1" s="1"/>
  <c r="V36" i="1" s="1"/>
  <c r="AJ36" i="1"/>
  <c r="CX36" i="1" s="1"/>
  <c r="W36" i="1" s="1"/>
  <c r="CQ36" i="1"/>
  <c r="CV36" i="1"/>
  <c r="GL36" i="1"/>
  <c r="GN36" i="1"/>
  <c r="GO36" i="1"/>
  <c r="GV36" i="1"/>
  <c r="HC36" i="1"/>
  <c r="GX36" i="1" s="1"/>
  <c r="I37" i="1"/>
  <c r="V37" i="1"/>
  <c r="AC37" i="1"/>
  <c r="AD37" i="1"/>
  <c r="AE37" i="1"/>
  <c r="AF37" i="1"/>
  <c r="AG37" i="1"/>
  <c r="CU37" i="1" s="1"/>
  <c r="T37" i="1" s="1"/>
  <c r="AH37" i="1"/>
  <c r="CV37" i="1" s="1"/>
  <c r="U37" i="1" s="1"/>
  <c r="AI37" i="1"/>
  <c r="CW37" i="1" s="1"/>
  <c r="AJ37" i="1"/>
  <c r="CX37" i="1" s="1"/>
  <c r="CT37" i="1"/>
  <c r="GL37" i="1"/>
  <c r="GN37" i="1"/>
  <c r="GO37" i="1"/>
  <c r="GV37" i="1"/>
  <c r="HC37" i="1"/>
  <c r="GX37" i="1" s="1"/>
  <c r="I38" i="1"/>
  <c r="S38" i="1"/>
  <c r="CY38" i="1" s="1"/>
  <c r="X38" i="1" s="1"/>
  <c r="T38" i="1"/>
  <c r="AC38" i="1"/>
  <c r="AD38" i="1"/>
  <c r="AE38" i="1"/>
  <c r="AF38" i="1"/>
  <c r="AG38" i="1"/>
  <c r="AH38" i="1"/>
  <c r="AI38" i="1"/>
  <c r="AJ38" i="1"/>
  <c r="CX38" i="1" s="1"/>
  <c r="CT38" i="1"/>
  <c r="CU38" i="1"/>
  <c r="CV38" i="1"/>
  <c r="CW38" i="1"/>
  <c r="GL38" i="1"/>
  <c r="GN38" i="1"/>
  <c r="GO38" i="1"/>
  <c r="GV38" i="1"/>
  <c r="HC38" i="1" s="1"/>
  <c r="GX38" i="1"/>
  <c r="C39" i="1"/>
  <c r="D39" i="1"/>
  <c r="I39" i="1"/>
  <c r="K39" i="1"/>
  <c r="AC39" i="1"/>
  <c r="AB39" i="1" s="1"/>
  <c r="AD39" i="1"/>
  <c r="AE39" i="1"/>
  <c r="AF39" i="1"/>
  <c r="AG39" i="1"/>
  <c r="AH39" i="1"/>
  <c r="CV39" i="1" s="1"/>
  <c r="U39" i="1" s="1"/>
  <c r="AI39" i="1"/>
  <c r="AJ39" i="1"/>
  <c r="CX39" i="1" s="1"/>
  <c r="CQ39" i="1"/>
  <c r="P39" i="1" s="1"/>
  <c r="CP39" i="1" s="1"/>
  <c r="O39" i="1" s="1"/>
  <c r="CR39" i="1"/>
  <c r="Q39" i="1" s="1"/>
  <c r="CS39" i="1"/>
  <c r="R39" i="1" s="1"/>
  <c r="GK39" i="1" s="1"/>
  <c r="CT39" i="1"/>
  <c r="S39" i="1" s="1"/>
  <c r="CU39" i="1"/>
  <c r="T39" i="1" s="1"/>
  <c r="CW39" i="1"/>
  <c r="V39" i="1" s="1"/>
  <c r="GL39" i="1"/>
  <c r="GN39" i="1"/>
  <c r="GO39" i="1"/>
  <c r="GV39" i="1"/>
  <c r="HC39" i="1" s="1"/>
  <c r="GX39" i="1" s="1"/>
  <c r="AC40" i="1"/>
  <c r="CQ40" i="1" s="1"/>
  <c r="AE40" i="1"/>
  <c r="AF40" i="1"/>
  <c r="CT40" i="1" s="1"/>
  <c r="AG40" i="1"/>
  <c r="CU40" i="1" s="1"/>
  <c r="AH40" i="1"/>
  <c r="CV40" i="1" s="1"/>
  <c r="AI40" i="1"/>
  <c r="AJ40" i="1"/>
  <c r="CW40" i="1"/>
  <c r="CX40" i="1"/>
  <c r="GL40" i="1"/>
  <c r="GN40" i="1"/>
  <c r="GO40" i="1"/>
  <c r="GV40" i="1"/>
  <c r="HC40" i="1"/>
  <c r="I41" i="1"/>
  <c r="U41" i="1"/>
  <c r="AB41" i="1"/>
  <c r="AC41" i="1"/>
  <c r="AE41" i="1"/>
  <c r="AD41" i="1" s="1"/>
  <c r="AF41" i="1"/>
  <c r="AG41" i="1"/>
  <c r="CU41" i="1" s="1"/>
  <c r="AH41" i="1"/>
  <c r="CV41" i="1" s="1"/>
  <c r="AI41" i="1"/>
  <c r="AJ41" i="1"/>
  <c r="CX41" i="1" s="1"/>
  <c r="W41" i="1" s="1"/>
  <c r="CQ41" i="1"/>
  <c r="P41" i="1" s="1"/>
  <c r="CP41" i="1" s="1"/>
  <c r="O41" i="1" s="1"/>
  <c r="CR41" i="1"/>
  <c r="Q41" i="1" s="1"/>
  <c r="CS41" i="1"/>
  <c r="R41" i="1" s="1"/>
  <c r="GK41" i="1" s="1"/>
  <c r="CT41" i="1"/>
  <c r="S41" i="1" s="1"/>
  <c r="CW41" i="1"/>
  <c r="V41" i="1" s="1"/>
  <c r="GL41" i="1"/>
  <c r="GN41" i="1"/>
  <c r="GO41" i="1"/>
  <c r="GV41" i="1"/>
  <c r="HC41" i="1"/>
  <c r="GX41" i="1" s="1"/>
  <c r="C42" i="1"/>
  <c r="D42" i="1"/>
  <c r="I42" i="1"/>
  <c r="K42" i="1"/>
  <c r="Q42" i="1"/>
  <c r="R42" i="1"/>
  <c r="GK42" i="1" s="1"/>
  <c r="S42" i="1"/>
  <c r="T42" i="1"/>
  <c r="W42" i="1"/>
  <c r="AC42" i="1"/>
  <c r="AE42" i="1"/>
  <c r="AD42" i="1" s="1"/>
  <c r="AF42" i="1"/>
  <c r="AG42" i="1"/>
  <c r="CU42" i="1" s="1"/>
  <c r="AH42" i="1"/>
  <c r="CV42" i="1" s="1"/>
  <c r="U42" i="1" s="1"/>
  <c r="AI42" i="1"/>
  <c r="CW42" i="1" s="1"/>
  <c r="V42" i="1" s="1"/>
  <c r="AJ42" i="1"/>
  <c r="CX42" i="1" s="1"/>
  <c r="CQ42" i="1"/>
  <c r="P42" i="1" s="1"/>
  <c r="CR42" i="1"/>
  <c r="CS42" i="1"/>
  <c r="CT42" i="1"/>
  <c r="GL42" i="1"/>
  <c r="GN42" i="1"/>
  <c r="GO42" i="1"/>
  <c r="GV42" i="1"/>
  <c r="HC42" i="1"/>
  <c r="GX42" i="1" s="1"/>
  <c r="I43" i="1"/>
  <c r="P43" i="1"/>
  <c r="Q43" i="1"/>
  <c r="R43" i="1"/>
  <c r="GK43" i="1" s="1"/>
  <c r="AC43" i="1"/>
  <c r="AE43" i="1"/>
  <c r="AD43" i="1" s="1"/>
  <c r="AF43" i="1"/>
  <c r="AG43" i="1"/>
  <c r="AH43" i="1"/>
  <c r="AI43" i="1"/>
  <c r="AJ43" i="1"/>
  <c r="CQ43" i="1"/>
  <c r="CR43" i="1"/>
  <c r="CS43" i="1"/>
  <c r="CT43" i="1"/>
  <c r="CU43" i="1"/>
  <c r="CV43" i="1"/>
  <c r="CW43" i="1"/>
  <c r="CX43" i="1"/>
  <c r="GL43" i="1"/>
  <c r="GN43" i="1"/>
  <c r="GO43" i="1"/>
  <c r="GV43" i="1"/>
  <c r="HC43" i="1"/>
  <c r="AC44" i="1"/>
  <c r="CQ44" i="1" s="1"/>
  <c r="AE44" i="1"/>
  <c r="AF44" i="1"/>
  <c r="CT44" i="1" s="1"/>
  <c r="AG44" i="1"/>
  <c r="CU44" i="1" s="1"/>
  <c r="AH44" i="1"/>
  <c r="AI44" i="1"/>
  <c r="AJ44" i="1"/>
  <c r="CV44" i="1"/>
  <c r="CW44" i="1"/>
  <c r="CX44" i="1"/>
  <c r="GL44" i="1"/>
  <c r="GN44" i="1"/>
  <c r="GO44" i="1"/>
  <c r="GV44" i="1"/>
  <c r="HC44" i="1" s="1"/>
  <c r="C45" i="1"/>
  <c r="D45" i="1"/>
  <c r="I45" i="1"/>
  <c r="K45" i="1"/>
  <c r="P45" i="1"/>
  <c r="AC45" i="1"/>
  <c r="CQ45" i="1" s="1"/>
  <c r="AE45" i="1"/>
  <c r="AD45" i="1" s="1"/>
  <c r="AF45" i="1"/>
  <c r="CT45" i="1" s="1"/>
  <c r="S45" i="1" s="1"/>
  <c r="AG45" i="1"/>
  <c r="CU45" i="1" s="1"/>
  <c r="T45" i="1" s="1"/>
  <c r="AH45" i="1"/>
  <c r="AI45" i="1"/>
  <c r="AJ45" i="1"/>
  <c r="CR45" i="1"/>
  <c r="CS45" i="1"/>
  <c r="CV45" i="1"/>
  <c r="CW45" i="1"/>
  <c r="CX45" i="1"/>
  <c r="GL45" i="1"/>
  <c r="GN45" i="1"/>
  <c r="GO45" i="1"/>
  <c r="GV45" i="1"/>
  <c r="HC45" i="1" s="1"/>
  <c r="AC46" i="1"/>
  <c r="AD46" i="1"/>
  <c r="AE46" i="1"/>
  <c r="AF46" i="1"/>
  <c r="CT46" i="1" s="1"/>
  <c r="AG46" i="1"/>
  <c r="AH46" i="1"/>
  <c r="AI46" i="1"/>
  <c r="AJ46" i="1"/>
  <c r="CU46" i="1"/>
  <c r="CV46" i="1"/>
  <c r="CW46" i="1"/>
  <c r="CX46" i="1"/>
  <c r="GL46" i="1"/>
  <c r="GN46" i="1"/>
  <c r="GO46" i="1"/>
  <c r="GV46" i="1"/>
  <c r="HC46" i="1"/>
  <c r="I47" i="1"/>
  <c r="S47" i="1"/>
  <c r="T47" i="1"/>
  <c r="U47" i="1"/>
  <c r="AC47" i="1"/>
  <c r="CQ47" i="1" s="1"/>
  <c r="P47" i="1" s="1"/>
  <c r="AD47" i="1"/>
  <c r="AE47" i="1"/>
  <c r="AF47" i="1"/>
  <c r="CT47" i="1" s="1"/>
  <c r="AG47" i="1"/>
  <c r="CU47" i="1" s="1"/>
  <c r="AH47" i="1"/>
  <c r="CV47" i="1" s="1"/>
  <c r="AI47" i="1"/>
  <c r="AJ47" i="1"/>
  <c r="CR47" i="1"/>
  <c r="CS47" i="1"/>
  <c r="CW47" i="1"/>
  <c r="CX47" i="1"/>
  <c r="GL47" i="1"/>
  <c r="GN47" i="1"/>
  <c r="GO47" i="1"/>
  <c r="GV47" i="1"/>
  <c r="HC47" i="1" s="1"/>
  <c r="GX47" i="1"/>
  <c r="I48" i="1"/>
  <c r="P48" i="1"/>
  <c r="AC48" i="1"/>
  <c r="CQ48" i="1" s="1"/>
  <c r="AD48" i="1"/>
  <c r="AE48" i="1"/>
  <c r="AF48" i="1"/>
  <c r="AG48" i="1"/>
  <c r="AH48" i="1"/>
  <c r="AI48" i="1"/>
  <c r="CW48" i="1" s="1"/>
  <c r="AJ48" i="1"/>
  <c r="CX48" i="1" s="1"/>
  <c r="CR48" i="1"/>
  <c r="CS48" i="1"/>
  <c r="CT48" i="1"/>
  <c r="CU48" i="1"/>
  <c r="CV48" i="1"/>
  <c r="GL48" i="1"/>
  <c r="GN48" i="1"/>
  <c r="GO48" i="1"/>
  <c r="GV48" i="1"/>
  <c r="HC48" i="1"/>
  <c r="AC49" i="1"/>
  <c r="AE49" i="1"/>
  <c r="AD49" i="1" s="1"/>
  <c r="AF49" i="1"/>
  <c r="AG49" i="1"/>
  <c r="AH49" i="1"/>
  <c r="AI49" i="1"/>
  <c r="CW49" i="1" s="1"/>
  <c r="AJ49" i="1"/>
  <c r="CX49" i="1" s="1"/>
  <c r="CR49" i="1"/>
  <c r="CS49" i="1"/>
  <c r="CT49" i="1"/>
  <c r="CU49" i="1"/>
  <c r="CV49" i="1"/>
  <c r="GL49" i="1"/>
  <c r="GN49" i="1"/>
  <c r="GO49" i="1"/>
  <c r="GV49" i="1"/>
  <c r="HC49" i="1"/>
  <c r="AC50" i="1"/>
  <c r="AE50" i="1"/>
  <c r="AF50" i="1"/>
  <c r="AG50" i="1"/>
  <c r="AH50" i="1"/>
  <c r="CV50" i="1" s="1"/>
  <c r="AI50" i="1"/>
  <c r="CW50" i="1" s="1"/>
  <c r="AJ50" i="1"/>
  <c r="CQ50" i="1"/>
  <c r="CT50" i="1"/>
  <c r="CU50" i="1"/>
  <c r="CX50" i="1"/>
  <c r="GL50" i="1"/>
  <c r="GN50" i="1"/>
  <c r="GO50" i="1"/>
  <c r="GV50" i="1"/>
  <c r="HC50" i="1"/>
  <c r="C51" i="1"/>
  <c r="D51" i="1"/>
  <c r="Q51" i="1"/>
  <c r="AC51" i="1"/>
  <c r="CQ51" i="1" s="1"/>
  <c r="P51" i="1" s="1"/>
  <c r="AD51" i="1"/>
  <c r="AE51" i="1"/>
  <c r="AF51" i="1"/>
  <c r="CT51" i="1" s="1"/>
  <c r="S51" i="1" s="1"/>
  <c r="AG51" i="1"/>
  <c r="AH51" i="1"/>
  <c r="AI51" i="1"/>
  <c r="AJ51" i="1"/>
  <c r="CR51" i="1"/>
  <c r="CS51" i="1"/>
  <c r="R51" i="1" s="1"/>
  <c r="GK51" i="1" s="1"/>
  <c r="CU51" i="1"/>
  <c r="T51" i="1" s="1"/>
  <c r="CV51" i="1"/>
  <c r="U51" i="1" s="1"/>
  <c r="CW51" i="1"/>
  <c r="V51" i="1" s="1"/>
  <c r="CX51" i="1"/>
  <c r="W51" i="1" s="1"/>
  <c r="GL51" i="1"/>
  <c r="GN51" i="1"/>
  <c r="GO51" i="1"/>
  <c r="GV51" i="1"/>
  <c r="HC51" i="1"/>
  <c r="GX51" i="1" s="1"/>
  <c r="I52" i="1"/>
  <c r="P52" i="1"/>
  <c r="Q52" i="1"/>
  <c r="R52" i="1"/>
  <c r="GK52" i="1" s="1"/>
  <c r="T52" i="1"/>
  <c r="U52" i="1"/>
  <c r="X52" i="1"/>
  <c r="Y52" i="1"/>
  <c r="AC52" i="1"/>
  <c r="AD52" i="1"/>
  <c r="AB52" i="1" s="1"/>
  <c r="AE52" i="1"/>
  <c r="AF52" i="1"/>
  <c r="AG52" i="1"/>
  <c r="AH52" i="1"/>
  <c r="AI52" i="1"/>
  <c r="AJ52" i="1"/>
  <c r="CQ52" i="1"/>
  <c r="CR52" i="1"/>
  <c r="CS52" i="1"/>
  <c r="CT52" i="1"/>
  <c r="S52" i="1" s="1"/>
  <c r="CU52" i="1"/>
  <c r="CV52" i="1"/>
  <c r="CW52" i="1"/>
  <c r="V52" i="1" s="1"/>
  <c r="CX52" i="1"/>
  <c r="W52" i="1" s="1"/>
  <c r="CY52" i="1"/>
  <c r="CZ52" i="1"/>
  <c r="GL52" i="1"/>
  <c r="GN52" i="1"/>
  <c r="GO52" i="1"/>
  <c r="GV52" i="1"/>
  <c r="HC52" i="1" s="1"/>
  <c r="I53" i="1"/>
  <c r="AC53" i="1"/>
  <c r="AE53" i="1"/>
  <c r="AF53" i="1"/>
  <c r="CT53" i="1" s="1"/>
  <c r="S53" i="1" s="1"/>
  <c r="AG53" i="1"/>
  <c r="CU53" i="1" s="1"/>
  <c r="T53" i="1" s="1"/>
  <c r="AH53" i="1"/>
  <c r="AI53" i="1"/>
  <c r="AJ53" i="1"/>
  <c r="CV53" i="1"/>
  <c r="U53" i="1" s="1"/>
  <c r="CW53" i="1"/>
  <c r="V53" i="1" s="1"/>
  <c r="CX53" i="1"/>
  <c r="W53" i="1" s="1"/>
  <c r="GL53" i="1"/>
  <c r="GN53" i="1"/>
  <c r="GO53" i="1"/>
  <c r="GV53" i="1"/>
  <c r="HC53" i="1"/>
  <c r="GX53" i="1" s="1"/>
  <c r="C54" i="1"/>
  <c r="D54" i="1"/>
  <c r="I54" i="1"/>
  <c r="CU42" i="3" s="1"/>
  <c r="K54" i="1"/>
  <c r="Q54" i="1"/>
  <c r="U54" i="1"/>
  <c r="V54" i="1"/>
  <c r="W54" i="1"/>
  <c r="AC54" i="1"/>
  <c r="CQ54" i="1" s="1"/>
  <c r="P54" i="1" s="1"/>
  <c r="AE54" i="1"/>
  <c r="AD54" i="1" s="1"/>
  <c r="AF54" i="1"/>
  <c r="CT54" i="1" s="1"/>
  <c r="S54" i="1" s="1"/>
  <c r="AG54" i="1"/>
  <c r="CU54" i="1" s="1"/>
  <c r="T54" i="1" s="1"/>
  <c r="AH54" i="1"/>
  <c r="CV54" i="1" s="1"/>
  <c r="AI54" i="1"/>
  <c r="AJ54" i="1"/>
  <c r="CR54" i="1"/>
  <c r="CS54" i="1"/>
  <c r="R54" i="1" s="1"/>
  <c r="GK54" i="1" s="1"/>
  <c r="CW54" i="1"/>
  <c r="CX54" i="1"/>
  <c r="GL54" i="1"/>
  <c r="GN54" i="1"/>
  <c r="GO54" i="1"/>
  <c r="GV54" i="1"/>
  <c r="HC54" i="1"/>
  <c r="GX54" i="1" s="1"/>
  <c r="I55" i="1"/>
  <c r="U55" i="1"/>
  <c r="V55" i="1"/>
  <c r="W55" i="1"/>
  <c r="AC55" i="1"/>
  <c r="CQ55" i="1" s="1"/>
  <c r="P55" i="1" s="1"/>
  <c r="AE55" i="1"/>
  <c r="AF55" i="1"/>
  <c r="AG55" i="1"/>
  <c r="AH55" i="1"/>
  <c r="CV55" i="1" s="1"/>
  <c r="AI55" i="1"/>
  <c r="AJ55" i="1"/>
  <c r="CT55" i="1"/>
  <c r="CU55" i="1"/>
  <c r="CW55" i="1"/>
  <c r="CX55" i="1"/>
  <c r="GL55" i="1"/>
  <c r="GN55" i="1"/>
  <c r="GO55" i="1"/>
  <c r="GV55" i="1"/>
  <c r="HC55" i="1"/>
  <c r="GX55" i="1" s="1"/>
  <c r="C56" i="1"/>
  <c r="D56" i="1"/>
  <c r="I56" i="1"/>
  <c r="K56" i="1"/>
  <c r="S56" i="1"/>
  <c r="CZ56" i="1" s="1"/>
  <c r="T56" i="1"/>
  <c r="Y56" i="1"/>
  <c r="AC56" i="1"/>
  <c r="AE56" i="1"/>
  <c r="AF56" i="1"/>
  <c r="AG56" i="1"/>
  <c r="CU56" i="1" s="1"/>
  <c r="AH56" i="1"/>
  <c r="CV56" i="1" s="1"/>
  <c r="U56" i="1" s="1"/>
  <c r="AI56" i="1"/>
  <c r="CW56" i="1" s="1"/>
  <c r="V56" i="1" s="1"/>
  <c r="AJ56" i="1"/>
  <c r="CQ56" i="1"/>
  <c r="P56" i="1" s="1"/>
  <c r="CT56" i="1"/>
  <c r="CX56" i="1"/>
  <c r="W56" i="1" s="1"/>
  <c r="GL56" i="1"/>
  <c r="GN56" i="1"/>
  <c r="GO56" i="1"/>
  <c r="GV56" i="1"/>
  <c r="HC56" i="1"/>
  <c r="GX56" i="1" s="1"/>
  <c r="I57" i="1"/>
  <c r="V57" i="1"/>
  <c r="W57" i="1"/>
  <c r="Y57" i="1"/>
  <c r="AB57" i="1"/>
  <c r="AC57" i="1"/>
  <c r="AE57" i="1"/>
  <c r="AD57" i="1" s="1"/>
  <c r="AF57" i="1"/>
  <c r="AG57" i="1"/>
  <c r="CU57" i="1" s="1"/>
  <c r="T57" i="1" s="1"/>
  <c r="AH57" i="1"/>
  <c r="CV57" i="1" s="1"/>
  <c r="U57" i="1" s="1"/>
  <c r="AI57" i="1"/>
  <c r="AJ57" i="1"/>
  <c r="CX57" i="1" s="1"/>
  <c r="CQ57" i="1"/>
  <c r="P57" i="1" s="1"/>
  <c r="CP57" i="1" s="1"/>
  <c r="O57" i="1" s="1"/>
  <c r="GM57" i="1" s="1"/>
  <c r="GP57" i="1" s="1"/>
  <c r="CR57" i="1"/>
  <c r="Q57" i="1" s="1"/>
  <c r="CS57" i="1"/>
  <c r="R57" i="1" s="1"/>
  <c r="GK57" i="1" s="1"/>
  <c r="CT57" i="1"/>
  <c r="S57" i="1" s="1"/>
  <c r="CY57" i="1" s="1"/>
  <c r="X57" i="1" s="1"/>
  <c r="CW57" i="1"/>
  <c r="CZ57" i="1"/>
  <c r="GL57" i="1"/>
  <c r="GN57" i="1"/>
  <c r="GO57" i="1"/>
  <c r="GV57" i="1"/>
  <c r="GX57" i="1"/>
  <c r="HC57" i="1"/>
  <c r="C58" i="1"/>
  <c r="D58" i="1"/>
  <c r="P58" i="1"/>
  <c r="S58" i="1"/>
  <c r="W58" i="1"/>
  <c r="AC58" i="1"/>
  <c r="AE58" i="1"/>
  <c r="AD58" i="1" s="1"/>
  <c r="AF58" i="1"/>
  <c r="CT58" i="1" s="1"/>
  <c r="AG58" i="1"/>
  <c r="AH58" i="1"/>
  <c r="AI58" i="1"/>
  <c r="CW58" i="1" s="1"/>
  <c r="V58" i="1" s="1"/>
  <c r="AJ58" i="1"/>
  <c r="CX58" i="1" s="1"/>
  <c r="CQ58" i="1"/>
  <c r="CU58" i="1"/>
  <c r="T58" i="1" s="1"/>
  <c r="CV58" i="1"/>
  <c r="U58" i="1" s="1"/>
  <c r="CY58" i="1"/>
  <c r="X58" i="1" s="1"/>
  <c r="CZ58" i="1"/>
  <c r="Y58" i="1" s="1"/>
  <c r="GL58" i="1"/>
  <c r="GN58" i="1"/>
  <c r="GO58" i="1"/>
  <c r="GV58" i="1"/>
  <c r="HC58" i="1"/>
  <c r="GX58" i="1" s="1"/>
  <c r="I59" i="1"/>
  <c r="S59" i="1"/>
  <c r="T59" i="1"/>
  <c r="AC59" i="1"/>
  <c r="AE59" i="1"/>
  <c r="AF59" i="1"/>
  <c r="CT59" i="1" s="1"/>
  <c r="AG59" i="1"/>
  <c r="CU59" i="1" s="1"/>
  <c r="AH59" i="1"/>
  <c r="CV59" i="1" s="1"/>
  <c r="U59" i="1" s="1"/>
  <c r="AI59" i="1"/>
  <c r="AJ59" i="1"/>
  <c r="CQ59" i="1"/>
  <c r="P59" i="1" s="1"/>
  <c r="CW59" i="1"/>
  <c r="V59" i="1" s="1"/>
  <c r="CX59" i="1"/>
  <c r="W59" i="1" s="1"/>
  <c r="GL59" i="1"/>
  <c r="GN59" i="1"/>
  <c r="GO59" i="1"/>
  <c r="GV59" i="1"/>
  <c r="HC59" i="1"/>
  <c r="GX59" i="1" s="1"/>
  <c r="C60" i="1"/>
  <c r="D60" i="1"/>
  <c r="I60" i="1"/>
  <c r="K60" i="1"/>
  <c r="AC60" i="1"/>
  <c r="CQ60" i="1" s="1"/>
  <c r="AE60" i="1"/>
  <c r="AD60" i="1" s="1"/>
  <c r="AB60" i="1" s="1"/>
  <c r="AF60" i="1"/>
  <c r="AG60" i="1"/>
  <c r="AH60" i="1"/>
  <c r="CV60" i="1" s="1"/>
  <c r="AI60" i="1"/>
  <c r="CW60" i="1" s="1"/>
  <c r="AJ60" i="1"/>
  <c r="CR60" i="1"/>
  <c r="CS60" i="1"/>
  <c r="CT60" i="1"/>
  <c r="CU60" i="1"/>
  <c r="CX60" i="1"/>
  <c r="GL60" i="1"/>
  <c r="GN60" i="1"/>
  <c r="GO60" i="1"/>
  <c r="GV60" i="1"/>
  <c r="HC60" i="1"/>
  <c r="AC61" i="1"/>
  <c r="AD61" i="1"/>
  <c r="AE61" i="1"/>
  <c r="AF61" i="1"/>
  <c r="AG61" i="1"/>
  <c r="AH61" i="1"/>
  <c r="AI61" i="1"/>
  <c r="AJ61" i="1"/>
  <c r="CX61" i="1" s="1"/>
  <c r="CQ61" i="1"/>
  <c r="CR61" i="1"/>
  <c r="CS61" i="1"/>
  <c r="CT61" i="1"/>
  <c r="CU61" i="1"/>
  <c r="CV61" i="1"/>
  <c r="CW61" i="1"/>
  <c r="GL61" i="1"/>
  <c r="GN61" i="1"/>
  <c r="GO61" i="1"/>
  <c r="GV61" i="1"/>
  <c r="HC61" i="1"/>
  <c r="AB62" i="1"/>
  <c r="AC62" i="1"/>
  <c r="AD62" i="1"/>
  <c r="AE62" i="1"/>
  <c r="AF62" i="1"/>
  <c r="AG62" i="1"/>
  <c r="AH62" i="1"/>
  <c r="AI62" i="1"/>
  <c r="AJ62" i="1"/>
  <c r="CQ62" i="1"/>
  <c r="CR62" i="1"/>
  <c r="CS62" i="1"/>
  <c r="CT62" i="1"/>
  <c r="CU62" i="1"/>
  <c r="CV62" i="1"/>
  <c r="CW62" i="1"/>
  <c r="CX62" i="1"/>
  <c r="GL62" i="1"/>
  <c r="GN62" i="1"/>
  <c r="GO62" i="1"/>
  <c r="GV62" i="1"/>
  <c r="HC62" i="1"/>
  <c r="AC63" i="1"/>
  <c r="CQ63" i="1" s="1"/>
  <c r="AE63" i="1"/>
  <c r="AF63" i="1"/>
  <c r="CT63" i="1" s="1"/>
  <c r="AG63" i="1"/>
  <c r="CU63" i="1" s="1"/>
  <c r="AH63" i="1"/>
  <c r="AI63" i="1"/>
  <c r="AJ63" i="1"/>
  <c r="CV63" i="1"/>
  <c r="CW63" i="1"/>
  <c r="CX63" i="1"/>
  <c r="GL63" i="1"/>
  <c r="GN63" i="1"/>
  <c r="GO63" i="1"/>
  <c r="GV63" i="1"/>
  <c r="HC63" i="1" s="1"/>
  <c r="AC64" i="1"/>
  <c r="AD64" i="1"/>
  <c r="AE64" i="1"/>
  <c r="AF64" i="1"/>
  <c r="AG64" i="1"/>
  <c r="AH64" i="1"/>
  <c r="AI64" i="1"/>
  <c r="AJ64" i="1"/>
  <c r="CR64" i="1"/>
  <c r="CS64" i="1"/>
  <c r="CT64" i="1"/>
  <c r="CU64" i="1"/>
  <c r="CV64" i="1"/>
  <c r="CW64" i="1"/>
  <c r="CX64" i="1"/>
  <c r="GL64" i="1"/>
  <c r="GN64" i="1"/>
  <c r="GO64" i="1"/>
  <c r="GV64" i="1"/>
  <c r="HC64" i="1"/>
  <c r="AC65" i="1"/>
  <c r="AE65" i="1"/>
  <c r="AF65" i="1"/>
  <c r="CT65" i="1" s="1"/>
  <c r="AG65" i="1"/>
  <c r="AH65" i="1"/>
  <c r="AI65" i="1"/>
  <c r="AJ65" i="1"/>
  <c r="CQ65" i="1"/>
  <c r="CU65" i="1"/>
  <c r="CV65" i="1"/>
  <c r="CW65" i="1"/>
  <c r="CX65" i="1"/>
  <c r="GL65" i="1"/>
  <c r="GN65" i="1"/>
  <c r="GO65" i="1"/>
  <c r="GV65" i="1"/>
  <c r="HC65" i="1" s="1"/>
  <c r="AC66" i="1"/>
  <c r="CQ66" i="1" s="1"/>
  <c r="AD66" i="1"/>
  <c r="AE66" i="1"/>
  <c r="CS66" i="1" s="1"/>
  <c r="AF66" i="1"/>
  <c r="CT66" i="1" s="1"/>
  <c r="AG66" i="1"/>
  <c r="AH66" i="1"/>
  <c r="AI66" i="1"/>
  <c r="CW66" i="1" s="1"/>
  <c r="AJ66" i="1"/>
  <c r="CR66" i="1"/>
  <c r="CU66" i="1"/>
  <c r="CV66" i="1"/>
  <c r="CX66" i="1"/>
  <c r="GL66" i="1"/>
  <c r="GN66" i="1"/>
  <c r="GO66" i="1"/>
  <c r="GV66" i="1"/>
  <c r="HC66" i="1" s="1"/>
  <c r="C67" i="1"/>
  <c r="D67" i="1"/>
  <c r="I67" i="1"/>
  <c r="K67" i="1"/>
  <c r="W67" i="1"/>
  <c r="AC67" i="1"/>
  <c r="AE67" i="1"/>
  <c r="AF67" i="1"/>
  <c r="AG67" i="1"/>
  <c r="CU67" i="1" s="1"/>
  <c r="T67" i="1" s="1"/>
  <c r="AH67" i="1"/>
  <c r="CV67" i="1" s="1"/>
  <c r="U67" i="1" s="1"/>
  <c r="AI67" i="1"/>
  <c r="CW67" i="1" s="1"/>
  <c r="V67" i="1" s="1"/>
  <c r="AJ67" i="1"/>
  <c r="CQ67" i="1"/>
  <c r="P67" i="1" s="1"/>
  <c r="CP67" i="1" s="1"/>
  <c r="O67" i="1" s="1"/>
  <c r="CR67" i="1"/>
  <c r="Q67" i="1" s="1"/>
  <c r="CT67" i="1"/>
  <c r="S67" i="1" s="1"/>
  <c r="CX67" i="1"/>
  <c r="GL67" i="1"/>
  <c r="GN67" i="1"/>
  <c r="GO67" i="1"/>
  <c r="GV67" i="1"/>
  <c r="HC67" i="1"/>
  <c r="GX67" i="1" s="1"/>
  <c r="I68" i="1"/>
  <c r="P68" i="1"/>
  <c r="S68" i="1"/>
  <c r="CY68" i="1" s="1"/>
  <c r="X68" i="1" s="1"/>
  <c r="U68" i="1"/>
  <c r="V68" i="1"/>
  <c r="W68" i="1"/>
  <c r="AC68" i="1"/>
  <c r="AE68" i="1"/>
  <c r="AF68" i="1"/>
  <c r="AG68" i="1"/>
  <c r="AH68" i="1"/>
  <c r="AI68" i="1"/>
  <c r="AJ68" i="1"/>
  <c r="CX68" i="1" s="1"/>
  <c r="CQ68" i="1"/>
  <c r="CT68" i="1"/>
  <c r="CU68" i="1"/>
  <c r="CV68" i="1"/>
  <c r="CW68" i="1"/>
  <c r="GL68" i="1"/>
  <c r="GN68" i="1"/>
  <c r="GO68" i="1"/>
  <c r="GV68" i="1"/>
  <c r="HC68" i="1"/>
  <c r="GX68" i="1" s="1"/>
  <c r="I69" i="1"/>
  <c r="W69" i="1" s="1"/>
  <c r="AC69" i="1"/>
  <c r="CQ69" i="1" s="1"/>
  <c r="AD69" i="1"/>
  <c r="AE69" i="1"/>
  <c r="AF69" i="1"/>
  <c r="AG69" i="1"/>
  <c r="CU69" i="1" s="1"/>
  <c r="AH69" i="1"/>
  <c r="AI69" i="1"/>
  <c r="AJ69" i="1"/>
  <c r="CX69" i="1" s="1"/>
  <c r="CR69" i="1"/>
  <c r="CS69" i="1"/>
  <c r="CT69" i="1"/>
  <c r="CV69" i="1"/>
  <c r="CW69" i="1"/>
  <c r="GL69" i="1"/>
  <c r="GN69" i="1"/>
  <c r="GO69" i="1"/>
  <c r="GV69" i="1"/>
  <c r="HC69" i="1" s="1"/>
  <c r="I70" i="1"/>
  <c r="Q70" i="1"/>
  <c r="R70" i="1"/>
  <c r="GK70" i="1" s="1"/>
  <c r="S70" i="1"/>
  <c r="AC70" i="1"/>
  <c r="CQ70" i="1" s="1"/>
  <c r="AE70" i="1"/>
  <c r="CS70" i="1" s="1"/>
  <c r="AF70" i="1"/>
  <c r="AG70" i="1"/>
  <c r="AH70" i="1"/>
  <c r="AI70" i="1"/>
  <c r="AJ70" i="1"/>
  <c r="CX70" i="1" s="1"/>
  <c r="CR70" i="1"/>
  <c r="CT70" i="1"/>
  <c r="CU70" i="1"/>
  <c r="T70" i="1" s="1"/>
  <c r="CV70" i="1"/>
  <c r="U70" i="1" s="1"/>
  <c r="CW70" i="1"/>
  <c r="V70" i="1" s="1"/>
  <c r="CY70" i="1"/>
  <c r="X70" i="1" s="1"/>
  <c r="CZ70" i="1"/>
  <c r="Y70" i="1" s="1"/>
  <c r="GL70" i="1"/>
  <c r="GN70" i="1"/>
  <c r="GO70" i="1"/>
  <c r="GV70" i="1"/>
  <c r="HC70" i="1"/>
  <c r="AC71" i="1"/>
  <c r="AE71" i="1"/>
  <c r="AD71" i="1" s="1"/>
  <c r="AF71" i="1"/>
  <c r="CT71" i="1" s="1"/>
  <c r="AG71" i="1"/>
  <c r="AH71" i="1"/>
  <c r="AI71" i="1"/>
  <c r="AJ71" i="1"/>
  <c r="CX71" i="1" s="1"/>
  <c r="CQ71" i="1"/>
  <c r="CR71" i="1"/>
  <c r="CS71" i="1"/>
  <c r="CU71" i="1"/>
  <c r="CV71" i="1"/>
  <c r="CW71" i="1"/>
  <c r="GL71" i="1"/>
  <c r="GN71" i="1"/>
  <c r="GO71" i="1"/>
  <c r="GV71" i="1"/>
  <c r="HC71" i="1"/>
  <c r="I72" i="1"/>
  <c r="T72" i="1"/>
  <c r="U72" i="1"/>
  <c r="V72" i="1"/>
  <c r="AC72" i="1"/>
  <c r="AE72" i="1"/>
  <c r="AF72" i="1"/>
  <c r="CT72" i="1" s="1"/>
  <c r="S72" i="1" s="1"/>
  <c r="AG72" i="1"/>
  <c r="AH72" i="1"/>
  <c r="AI72" i="1"/>
  <c r="CW72" i="1" s="1"/>
  <c r="AJ72" i="1"/>
  <c r="CX72" i="1" s="1"/>
  <c r="CQ72" i="1"/>
  <c r="CU72" i="1"/>
  <c r="CV72" i="1"/>
  <c r="GL72" i="1"/>
  <c r="GN72" i="1"/>
  <c r="GO72" i="1"/>
  <c r="GV72" i="1"/>
  <c r="HC72" i="1"/>
  <c r="GX72" i="1" s="1"/>
  <c r="I73" i="1"/>
  <c r="AC73" i="1"/>
  <c r="AD73" i="1"/>
  <c r="AE73" i="1"/>
  <c r="AF73" i="1"/>
  <c r="AG73" i="1"/>
  <c r="AH73" i="1"/>
  <c r="CV73" i="1" s="1"/>
  <c r="AI73" i="1"/>
  <c r="CW73" i="1" s="1"/>
  <c r="AJ73" i="1"/>
  <c r="CX73" i="1" s="1"/>
  <c r="CR73" i="1"/>
  <c r="CS73" i="1"/>
  <c r="CT73" i="1"/>
  <c r="CU73" i="1"/>
  <c r="GL73" i="1"/>
  <c r="GN73" i="1"/>
  <c r="GO73" i="1"/>
  <c r="GV73" i="1"/>
  <c r="HC73" i="1"/>
  <c r="C74" i="1"/>
  <c r="D74" i="1"/>
  <c r="I74" i="1"/>
  <c r="K74" i="1"/>
  <c r="AC74" i="1"/>
  <c r="AB74" i="1" s="1"/>
  <c r="AE74" i="1"/>
  <c r="AD74" i="1" s="1"/>
  <c r="AF74" i="1"/>
  <c r="AG74" i="1"/>
  <c r="AH74" i="1"/>
  <c r="AI74" i="1"/>
  <c r="CW74" i="1" s="1"/>
  <c r="V74" i="1" s="1"/>
  <c r="AJ74" i="1"/>
  <c r="CQ74" i="1"/>
  <c r="P74" i="1" s="1"/>
  <c r="CR74" i="1"/>
  <c r="Q74" i="1" s="1"/>
  <c r="CS74" i="1"/>
  <c r="R74" i="1" s="1"/>
  <c r="GK74" i="1" s="1"/>
  <c r="CT74" i="1"/>
  <c r="S74" i="1" s="1"/>
  <c r="CZ74" i="1" s="1"/>
  <c r="Y74" i="1" s="1"/>
  <c r="CU74" i="1"/>
  <c r="T74" i="1" s="1"/>
  <c r="CV74" i="1"/>
  <c r="U74" i="1" s="1"/>
  <c r="CX74" i="1"/>
  <c r="W74" i="1" s="1"/>
  <c r="CY74" i="1"/>
  <c r="X74" i="1" s="1"/>
  <c r="GL74" i="1"/>
  <c r="GN74" i="1"/>
  <c r="GO74" i="1"/>
  <c r="GV74" i="1"/>
  <c r="HC74" i="1"/>
  <c r="AC75" i="1"/>
  <c r="CQ75" i="1" s="1"/>
  <c r="AE75" i="1"/>
  <c r="AF75" i="1"/>
  <c r="CT75" i="1" s="1"/>
  <c r="AG75" i="1"/>
  <c r="CU75" i="1" s="1"/>
  <c r="AH75" i="1"/>
  <c r="CV75" i="1" s="1"/>
  <c r="AI75" i="1"/>
  <c r="AJ75" i="1"/>
  <c r="CW75" i="1"/>
  <c r="CX75" i="1"/>
  <c r="GL75" i="1"/>
  <c r="GN75" i="1"/>
  <c r="GO75" i="1"/>
  <c r="GV75" i="1"/>
  <c r="HC75" i="1"/>
  <c r="AC76" i="1"/>
  <c r="CQ76" i="1" s="1"/>
  <c r="AE76" i="1"/>
  <c r="AD76" i="1" s="1"/>
  <c r="AB76" i="1" s="1"/>
  <c r="AF76" i="1"/>
  <c r="AG76" i="1"/>
  <c r="AH76" i="1"/>
  <c r="AI76" i="1"/>
  <c r="AJ76" i="1"/>
  <c r="CR76" i="1"/>
  <c r="CS76" i="1"/>
  <c r="CT76" i="1"/>
  <c r="CU76" i="1"/>
  <c r="CV76" i="1"/>
  <c r="CW76" i="1"/>
  <c r="CX76" i="1"/>
  <c r="GL76" i="1"/>
  <c r="GN76" i="1"/>
  <c r="GO76" i="1"/>
  <c r="GV76" i="1"/>
  <c r="HC76" i="1"/>
  <c r="AC77" i="1"/>
  <c r="CQ77" i="1" s="1"/>
  <c r="AE77" i="1"/>
  <c r="AF77" i="1"/>
  <c r="AG77" i="1"/>
  <c r="AH77" i="1"/>
  <c r="AI77" i="1"/>
  <c r="AJ77" i="1"/>
  <c r="CS77" i="1"/>
  <c r="CT77" i="1"/>
  <c r="CU77" i="1"/>
  <c r="CV77" i="1"/>
  <c r="CW77" i="1"/>
  <c r="CX77" i="1"/>
  <c r="GL77" i="1"/>
  <c r="GN77" i="1"/>
  <c r="GO77" i="1"/>
  <c r="GV77" i="1"/>
  <c r="HC77" i="1" s="1"/>
  <c r="AC78" i="1"/>
  <c r="CQ78" i="1" s="1"/>
  <c r="AD78" i="1"/>
  <c r="AE78" i="1"/>
  <c r="AF78" i="1"/>
  <c r="CT78" i="1" s="1"/>
  <c r="AG78" i="1"/>
  <c r="CU78" i="1" s="1"/>
  <c r="AH78" i="1"/>
  <c r="AI78" i="1"/>
  <c r="CW78" i="1" s="1"/>
  <c r="AJ78" i="1"/>
  <c r="CX78" i="1" s="1"/>
  <c r="CV78" i="1"/>
  <c r="GL78" i="1"/>
  <c r="GN78" i="1"/>
  <c r="GO78" i="1"/>
  <c r="GV78" i="1"/>
  <c r="HC78" i="1"/>
  <c r="AC79" i="1"/>
  <c r="CQ79" i="1" s="1"/>
  <c r="AD79" i="1"/>
  <c r="AE79" i="1"/>
  <c r="AF79" i="1"/>
  <c r="AG79" i="1"/>
  <c r="AH79" i="1"/>
  <c r="AI79" i="1"/>
  <c r="AJ79" i="1"/>
  <c r="CX79" i="1" s="1"/>
  <c r="CT79" i="1"/>
  <c r="CU79" i="1"/>
  <c r="CV79" i="1"/>
  <c r="CW79" i="1"/>
  <c r="GL79" i="1"/>
  <c r="GN79" i="1"/>
  <c r="GO79" i="1"/>
  <c r="GV79" i="1"/>
  <c r="HC79" i="1" s="1"/>
  <c r="AC80" i="1"/>
  <c r="AE80" i="1"/>
  <c r="CS80" i="1" s="1"/>
  <c r="AF80" i="1"/>
  <c r="AG80" i="1"/>
  <c r="AH80" i="1"/>
  <c r="CV80" i="1" s="1"/>
  <c r="AI80" i="1"/>
  <c r="CW80" i="1" s="1"/>
  <c r="AJ80" i="1"/>
  <c r="CX80" i="1" s="1"/>
  <c r="CQ80" i="1"/>
  <c r="CR80" i="1"/>
  <c r="CT80" i="1"/>
  <c r="CU80" i="1"/>
  <c r="GL80" i="1"/>
  <c r="GN80" i="1"/>
  <c r="GO80" i="1"/>
  <c r="GV80" i="1"/>
  <c r="HC80" i="1" s="1"/>
  <c r="C81" i="1"/>
  <c r="D81" i="1"/>
  <c r="Q81" i="1"/>
  <c r="R81" i="1"/>
  <c r="GK81" i="1" s="1"/>
  <c r="T81" i="1"/>
  <c r="AC81" i="1"/>
  <c r="AD81" i="1"/>
  <c r="AE81" i="1"/>
  <c r="AF81" i="1"/>
  <c r="CT81" i="1" s="1"/>
  <c r="S81" i="1" s="1"/>
  <c r="AG81" i="1"/>
  <c r="CU81" i="1" s="1"/>
  <c r="AH81" i="1"/>
  <c r="CV81" i="1" s="1"/>
  <c r="U81" i="1" s="1"/>
  <c r="AI81" i="1"/>
  <c r="CW81" i="1" s="1"/>
  <c r="V81" i="1" s="1"/>
  <c r="AJ81" i="1"/>
  <c r="CX81" i="1" s="1"/>
  <c r="W81" i="1" s="1"/>
  <c r="CR81" i="1"/>
  <c r="CS81" i="1"/>
  <c r="GL81" i="1"/>
  <c r="GN81" i="1"/>
  <c r="GO81" i="1"/>
  <c r="GV81" i="1"/>
  <c r="HC81" i="1"/>
  <c r="GX81" i="1" s="1"/>
  <c r="I82" i="1"/>
  <c r="P82" i="1"/>
  <c r="S82" i="1"/>
  <c r="CY82" i="1" s="1"/>
  <c r="X82" i="1" s="1"/>
  <c r="T82" i="1"/>
  <c r="U82" i="1"/>
  <c r="AC82" i="1"/>
  <c r="AE82" i="1"/>
  <c r="AD82" i="1" s="1"/>
  <c r="AF82" i="1"/>
  <c r="AG82" i="1"/>
  <c r="CU82" i="1" s="1"/>
  <c r="AH82" i="1"/>
  <c r="AI82" i="1"/>
  <c r="AJ82" i="1"/>
  <c r="CQ82" i="1"/>
  <c r="CR82" i="1"/>
  <c r="CS82" i="1"/>
  <c r="CT82" i="1"/>
  <c r="CV82" i="1"/>
  <c r="CW82" i="1"/>
  <c r="CX82" i="1"/>
  <c r="GL82" i="1"/>
  <c r="GN82" i="1"/>
  <c r="GO82" i="1"/>
  <c r="GV82" i="1"/>
  <c r="HC82" i="1"/>
  <c r="GX82" i="1" s="1"/>
  <c r="C83" i="1"/>
  <c r="D83" i="1"/>
  <c r="I83" i="1"/>
  <c r="CU80" i="3" s="1"/>
  <c r="K83" i="1"/>
  <c r="T83" i="1"/>
  <c r="U83" i="1"/>
  <c r="V83" i="1"/>
  <c r="W83" i="1"/>
  <c r="Y83" i="1"/>
  <c r="AC83" i="1"/>
  <c r="CQ83" i="1" s="1"/>
  <c r="P83" i="1" s="1"/>
  <c r="AD83" i="1"/>
  <c r="AE83" i="1"/>
  <c r="AF83" i="1"/>
  <c r="CT83" i="1" s="1"/>
  <c r="S83" i="1" s="1"/>
  <c r="AG83" i="1"/>
  <c r="CU83" i="1" s="1"/>
  <c r="AH83" i="1"/>
  <c r="AI83" i="1"/>
  <c r="AJ83" i="1"/>
  <c r="CX83" i="1" s="1"/>
  <c r="CV83" i="1"/>
  <c r="CW83" i="1"/>
  <c r="CY83" i="1"/>
  <c r="X83" i="1" s="1"/>
  <c r="CZ83" i="1"/>
  <c r="GL83" i="1"/>
  <c r="GN83" i="1"/>
  <c r="GO83" i="1"/>
  <c r="GV83" i="1"/>
  <c r="HC83" i="1" s="1"/>
  <c r="GX83" i="1" s="1"/>
  <c r="I84" i="1"/>
  <c r="P84" i="1"/>
  <c r="Q84" i="1"/>
  <c r="AC84" i="1"/>
  <c r="AE84" i="1"/>
  <c r="AD84" i="1" s="1"/>
  <c r="AB84" i="1" s="1"/>
  <c r="AF84" i="1"/>
  <c r="AG84" i="1"/>
  <c r="CU84" i="1" s="1"/>
  <c r="AH84" i="1"/>
  <c r="AI84" i="1"/>
  <c r="AJ84" i="1"/>
  <c r="CQ84" i="1"/>
  <c r="CR84" i="1"/>
  <c r="CS84" i="1"/>
  <c r="CT84" i="1"/>
  <c r="S84" i="1" s="1"/>
  <c r="CV84" i="1"/>
  <c r="U84" i="1" s="1"/>
  <c r="CW84" i="1"/>
  <c r="V84" i="1" s="1"/>
  <c r="CX84" i="1"/>
  <c r="W84" i="1" s="1"/>
  <c r="GL84" i="1"/>
  <c r="GN84" i="1"/>
  <c r="GO84" i="1"/>
  <c r="GV84" i="1"/>
  <c r="HC84" i="1"/>
  <c r="GX84" i="1" s="1"/>
  <c r="B86" i="1"/>
  <c r="C86" i="1"/>
  <c r="D86" i="1"/>
  <c r="F86" i="1"/>
  <c r="F26" i="1" s="1"/>
  <c r="G86" i="1"/>
  <c r="G26" i="1" s="1"/>
  <c r="AO86" i="1"/>
  <c r="AO26" i="1" s="1"/>
  <c r="BX86" i="1"/>
  <c r="BX26" i="1" s="1"/>
  <c r="BY86" i="1"/>
  <c r="BY26" i="1" s="1"/>
  <c r="CK86" i="1"/>
  <c r="CL86" i="1"/>
  <c r="CM86" i="1"/>
  <c r="F90" i="1"/>
  <c r="B116" i="1"/>
  <c r="B22" i="1" s="1"/>
  <c r="C116" i="1"/>
  <c r="C22" i="1" s="1"/>
  <c r="D116" i="1"/>
  <c r="D22" i="1" s="1"/>
  <c r="F116" i="1"/>
  <c r="G116" i="1"/>
  <c r="G22" i="1" s="1"/>
  <c r="AO116" i="1"/>
  <c r="AO22" i="1" s="1"/>
  <c r="D149" i="1"/>
  <c r="B151" i="1"/>
  <c r="C151" i="1"/>
  <c r="E151" i="1"/>
  <c r="F151" i="1"/>
  <c r="G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BE151" i="1"/>
  <c r="BF151" i="1"/>
  <c r="BG151" i="1"/>
  <c r="BH151" i="1"/>
  <c r="BI151" i="1"/>
  <c r="BJ151" i="1"/>
  <c r="BK151" i="1"/>
  <c r="BL151" i="1"/>
  <c r="BM151" i="1"/>
  <c r="BN151" i="1"/>
  <c r="BO151" i="1"/>
  <c r="BP151" i="1"/>
  <c r="BQ151" i="1"/>
  <c r="BR151" i="1"/>
  <c r="BS151" i="1"/>
  <c r="BT151" i="1"/>
  <c r="BU151" i="1"/>
  <c r="BV151" i="1"/>
  <c r="BW151" i="1"/>
  <c r="BX151" i="1"/>
  <c r="BY151" i="1"/>
  <c r="BZ151" i="1"/>
  <c r="CA151" i="1"/>
  <c r="CB151" i="1"/>
  <c r="CC151" i="1"/>
  <c r="CD151" i="1"/>
  <c r="CE151" i="1"/>
  <c r="CF151" i="1"/>
  <c r="CG151" i="1"/>
  <c r="CH151" i="1"/>
  <c r="CI151" i="1"/>
  <c r="CJ151" i="1"/>
  <c r="CK151" i="1"/>
  <c r="CL151" i="1"/>
  <c r="CM151" i="1"/>
  <c r="CN151" i="1"/>
  <c r="CO151" i="1"/>
  <c r="CP151" i="1"/>
  <c r="CQ151" i="1"/>
  <c r="CR151" i="1"/>
  <c r="CS151" i="1"/>
  <c r="CT151" i="1"/>
  <c r="CU151" i="1"/>
  <c r="CV151" i="1"/>
  <c r="CW151" i="1"/>
  <c r="CX151" i="1"/>
  <c r="CY151" i="1"/>
  <c r="CZ151" i="1"/>
  <c r="DA151" i="1"/>
  <c r="DB151" i="1"/>
  <c r="DC151" i="1"/>
  <c r="DD151" i="1"/>
  <c r="DE151" i="1"/>
  <c r="DF151" i="1"/>
  <c r="DG151" i="1"/>
  <c r="DH151" i="1"/>
  <c r="DI151" i="1"/>
  <c r="DJ151" i="1"/>
  <c r="DK151" i="1"/>
  <c r="DL151" i="1"/>
  <c r="DM151" i="1"/>
  <c r="DN151" i="1"/>
  <c r="DO151" i="1"/>
  <c r="DP151" i="1"/>
  <c r="DQ151" i="1"/>
  <c r="DR151" i="1"/>
  <c r="DS151" i="1"/>
  <c r="DT151" i="1"/>
  <c r="DU151" i="1"/>
  <c r="DV151" i="1"/>
  <c r="DW151" i="1"/>
  <c r="DX151" i="1"/>
  <c r="DY151" i="1"/>
  <c r="DZ151" i="1"/>
  <c r="EA151" i="1"/>
  <c r="EB151" i="1"/>
  <c r="EC151" i="1"/>
  <c r="ED151" i="1"/>
  <c r="EE151" i="1"/>
  <c r="EF151" i="1"/>
  <c r="EG151" i="1"/>
  <c r="EH151" i="1"/>
  <c r="EI151" i="1"/>
  <c r="EJ151" i="1"/>
  <c r="EK151" i="1"/>
  <c r="EL151" i="1"/>
  <c r="EM151" i="1"/>
  <c r="EN151" i="1"/>
  <c r="EO151" i="1"/>
  <c r="EP151" i="1"/>
  <c r="EQ151" i="1"/>
  <c r="ER151" i="1"/>
  <c r="ES151" i="1"/>
  <c r="ET151" i="1"/>
  <c r="EU151" i="1"/>
  <c r="EV151" i="1"/>
  <c r="EW151" i="1"/>
  <c r="EX151" i="1"/>
  <c r="EY151" i="1"/>
  <c r="EZ151" i="1"/>
  <c r="FA151" i="1"/>
  <c r="FB151" i="1"/>
  <c r="FC151" i="1"/>
  <c r="FD151" i="1"/>
  <c r="FE151" i="1"/>
  <c r="FF151" i="1"/>
  <c r="FG151" i="1"/>
  <c r="FH151" i="1"/>
  <c r="FI151" i="1"/>
  <c r="FJ151" i="1"/>
  <c r="FK151" i="1"/>
  <c r="FL151" i="1"/>
  <c r="FM151" i="1"/>
  <c r="FN151" i="1"/>
  <c r="FO151" i="1"/>
  <c r="FP151" i="1"/>
  <c r="FQ151" i="1"/>
  <c r="FR151" i="1"/>
  <c r="FS151" i="1"/>
  <c r="FT151" i="1"/>
  <c r="FU151" i="1"/>
  <c r="FV151" i="1"/>
  <c r="FW151" i="1"/>
  <c r="FX151" i="1"/>
  <c r="FY151" i="1"/>
  <c r="FZ151" i="1"/>
  <c r="GA151" i="1"/>
  <c r="GB151" i="1"/>
  <c r="GC151" i="1"/>
  <c r="GD151" i="1"/>
  <c r="GE151" i="1"/>
  <c r="GF151" i="1"/>
  <c r="GG151" i="1"/>
  <c r="GH151" i="1"/>
  <c r="GI151" i="1"/>
  <c r="GJ151" i="1"/>
  <c r="GK151" i="1"/>
  <c r="GL151" i="1"/>
  <c r="GM151" i="1"/>
  <c r="GN151" i="1"/>
  <c r="GO151" i="1"/>
  <c r="GP151" i="1"/>
  <c r="GQ151" i="1"/>
  <c r="GR151" i="1"/>
  <c r="GS151" i="1"/>
  <c r="GT151" i="1"/>
  <c r="GU151" i="1"/>
  <c r="GV151" i="1"/>
  <c r="GW151" i="1"/>
  <c r="GX151" i="1"/>
  <c r="D153" i="1"/>
  <c r="B155" i="1"/>
  <c r="C155" i="1"/>
  <c r="D155" i="1"/>
  <c r="E155" i="1"/>
  <c r="F155" i="1"/>
  <c r="G155" i="1"/>
  <c r="Z155" i="1"/>
  <c r="AA155" i="1"/>
  <c r="AM155" i="1"/>
  <c r="AN155" i="1"/>
  <c r="AV155" i="1"/>
  <c r="BD155" i="1"/>
  <c r="BE155" i="1"/>
  <c r="BF155" i="1"/>
  <c r="BG155" i="1"/>
  <c r="BH155" i="1"/>
  <c r="BI155" i="1"/>
  <c r="BJ155" i="1"/>
  <c r="BK155" i="1"/>
  <c r="BL155" i="1"/>
  <c r="BM155" i="1"/>
  <c r="BN155" i="1"/>
  <c r="BO155" i="1"/>
  <c r="BP155" i="1"/>
  <c r="BQ155" i="1"/>
  <c r="BR155" i="1"/>
  <c r="BS155" i="1"/>
  <c r="BT155" i="1"/>
  <c r="BU155" i="1"/>
  <c r="BV155" i="1"/>
  <c r="BW155" i="1"/>
  <c r="CK155" i="1"/>
  <c r="CL155" i="1"/>
  <c r="CN155" i="1"/>
  <c r="CO155" i="1"/>
  <c r="CP155" i="1"/>
  <c r="CQ155" i="1"/>
  <c r="CR155" i="1"/>
  <c r="CS155" i="1"/>
  <c r="CT155" i="1"/>
  <c r="CU155" i="1"/>
  <c r="CV155" i="1"/>
  <c r="CW155" i="1"/>
  <c r="CX155" i="1"/>
  <c r="CY155" i="1"/>
  <c r="CZ155" i="1"/>
  <c r="DA155" i="1"/>
  <c r="DB155" i="1"/>
  <c r="DC155" i="1"/>
  <c r="DD155" i="1"/>
  <c r="DE155" i="1"/>
  <c r="DF155" i="1"/>
  <c r="DG155" i="1"/>
  <c r="DH155" i="1"/>
  <c r="DI155" i="1"/>
  <c r="DJ155" i="1"/>
  <c r="DK155" i="1"/>
  <c r="DL155" i="1"/>
  <c r="DM155" i="1"/>
  <c r="DN155" i="1"/>
  <c r="DO155" i="1"/>
  <c r="DP155" i="1"/>
  <c r="DQ155" i="1"/>
  <c r="DR155" i="1"/>
  <c r="DS155" i="1"/>
  <c r="DT155" i="1"/>
  <c r="DU155" i="1"/>
  <c r="DV155" i="1"/>
  <c r="DW155" i="1"/>
  <c r="DX155" i="1"/>
  <c r="DY155" i="1"/>
  <c r="DZ155" i="1"/>
  <c r="EA155" i="1"/>
  <c r="EB155" i="1"/>
  <c r="EC155" i="1"/>
  <c r="ED155" i="1"/>
  <c r="EE155" i="1"/>
  <c r="EF155" i="1"/>
  <c r="EG155" i="1"/>
  <c r="EH155" i="1"/>
  <c r="EI155" i="1"/>
  <c r="EJ155" i="1"/>
  <c r="EK155" i="1"/>
  <c r="EL155" i="1"/>
  <c r="EM155" i="1"/>
  <c r="EN155" i="1"/>
  <c r="EO155" i="1"/>
  <c r="EP155" i="1"/>
  <c r="EQ155" i="1"/>
  <c r="ER155" i="1"/>
  <c r="ES155" i="1"/>
  <c r="ET155" i="1"/>
  <c r="EU155" i="1"/>
  <c r="EV155" i="1"/>
  <c r="EW155" i="1"/>
  <c r="EX155" i="1"/>
  <c r="EY155" i="1"/>
  <c r="EZ155" i="1"/>
  <c r="FA155" i="1"/>
  <c r="FB155" i="1"/>
  <c r="FC155" i="1"/>
  <c r="FD155" i="1"/>
  <c r="FE155" i="1"/>
  <c r="FF155" i="1"/>
  <c r="FG155" i="1"/>
  <c r="FH155" i="1"/>
  <c r="FI155" i="1"/>
  <c r="FJ155" i="1"/>
  <c r="FK155" i="1"/>
  <c r="FL155" i="1"/>
  <c r="FM155" i="1"/>
  <c r="FN155" i="1"/>
  <c r="FO155" i="1"/>
  <c r="FP155" i="1"/>
  <c r="FQ155" i="1"/>
  <c r="FR155" i="1"/>
  <c r="FS155" i="1"/>
  <c r="FT155" i="1"/>
  <c r="FU155" i="1"/>
  <c r="FV155" i="1"/>
  <c r="FW155" i="1"/>
  <c r="FX155" i="1"/>
  <c r="FY155" i="1"/>
  <c r="FZ155" i="1"/>
  <c r="GA155" i="1"/>
  <c r="GB155" i="1"/>
  <c r="GC155" i="1"/>
  <c r="GD155" i="1"/>
  <c r="GE155" i="1"/>
  <c r="GF155" i="1"/>
  <c r="GG155" i="1"/>
  <c r="GH155" i="1"/>
  <c r="GI155" i="1"/>
  <c r="GJ155" i="1"/>
  <c r="GK155" i="1"/>
  <c r="GL155" i="1"/>
  <c r="GM155" i="1"/>
  <c r="GN155" i="1"/>
  <c r="GO155" i="1"/>
  <c r="GP155" i="1"/>
  <c r="GQ155" i="1"/>
  <c r="GR155" i="1"/>
  <c r="GS155" i="1"/>
  <c r="GT155" i="1"/>
  <c r="GU155" i="1"/>
  <c r="GV155" i="1"/>
  <c r="GW155" i="1"/>
  <c r="GX155" i="1"/>
  <c r="S157" i="1"/>
  <c r="T157" i="1"/>
  <c r="U157" i="1"/>
  <c r="AH159" i="1" s="1"/>
  <c r="V157" i="1"/>
  <c r="W157" i="1"/>
  <c r="AJ159" i="1" s="1"/>
  <c r="AC157" i="1"/>
  <c r="CQ157" i="1" s="1"/>
  <c r="P157" i="1" s="1"/>
  <c r="AE157" i="1"/>
  <c r="CS157" i="1" s="1"/>
  <c r="R157" i="1" s="1"/>
  <c r="AF157" i="1"/>
  <c r="CT157" i="1" s="1"/>
  <c r="AG157" i="1"/>
  <c r="AH157" i="1"/>
  <c r="CV157" i="1" s="1"/>
  <c r="AI157" i="1"/>
  <c r="CW157" i="1" s="1"/>
  <c r="AJ157" i="1"/>
  <c r="CR157" i="1"/>
  <c r="Q157" i="1" s="1"/>
  <c r="CU157" i="1"/>
  <c r="CX157" i="1"/>
  <c r="GK157" i="1"/>
  <c r="GL157" i="1"/>
  <c r="BZ159" i="1" s="1"/>
  <c r="GO157" i="1"/>
  <c r="CC159" i="1" s="1"/>
  <c r="AT159" i="1" s="1"/>
  <c r="GP157" i="1"/>
  <c r="CD159" i="1" s="1"/>
  <c r="GV157" i="1"/>
  <c r="HC157" i="1" s="1"/>
  <c r="GX157" i="1" s="1"/>
  <c r="CJ159" i="1" s="1"/>
  <c r="B159" i="1"/>
  <c r="C159" i="1"/>
  <c r="D159" i="1"/>
  <c r="F159" i="1"/>
  <c r="G159" i="1"/>
  <c r="AC159" i="1"/>
  <c r="AD159" i="1"/>
  <c r="AE159" i="1"/>
  <c r="AF159" i="1"/>
  <c r="AG159" i="1"/>
  <c r="AI159" i="1"/>
  <c r="AO159" i="1"/>
  <c r="AP159" i="1"/>
  <c r="BB159" i="1"/>
  <c r="BB155" i="1" s="1"/>
  <c r="BC159" i="1"/>
  <c r="BC155" i="1" s="1"/>
  <c r="BD159" i="1"/>
  <c r="F184" i="1" s="1"/>
  <c r="BX159" i="1"/>
  <c r="BX155" i="1" s="1"/>
  <c r="BY159" i="1"/>
  <c r="BY155" i="1" s="1"/>
  <c r="CE159" i="1"/>
  <c r="AV159" i="1" s="1"/>
  <c r="F164" i="1" s="1"/>
  <c r="CF159" i="1"/>
  <c r="AW159" i="1" s="1"/>
  <c r="CK159" i="1"/>
  <c r="CL159" i="1"/>
  <c r="CM159" i="1"/>
  <c r="CM155" i="1" s="1"/>
  <c r="F172" i="1"/>
  <c r="F175" i="1"/>
  <c r="D189" i="1"/>
  <c r="B191" i="1"/>
  <c r="C191" i="1"/>
  <c r="D191" i="1"/>
  <c r="E191" i="1"/>
  <c r="F191" i="1"/>
  <c r="Z191" i="1"/>
  <c r="AA191" i="1"/>
  <c r="AM191" i="1"/>
  <c r="AN191" i="1"/>
  <c r="BE191" i="1"/>
  <c r="BF191" i="1"/>
  <c r="BG191" i="1"/>
  <c r="BH191" i="1"/>
  <c r="BI191" i="1"/>
  <c r="BJ191" i="1"/>
  <c r="BK191" i="1"/>
  <c r="BL191" i="1"/>
  <c r="BM191" i="1"/>
  <c r="BN191" i="1"/>
  <c r="BO191" i="1"/>
  <c r="BP191" i="1"/>
  <c r="BQ191" i="1"/>
  <c r="BR191" i="1"/>
  <c r="BS191" i="1"/>
  <c r="BT191" i="1"/>
  <c r="BU191" i="1"/>
  <c r="BV191" i="1"/>
  <c r="BW191" i="1"/>
  <c r="CK191" i="1"/>
  <c r="CL191" i="1"/>
  <c r="CM191" i="1"/>
  <c r="CN191" i="1"/>
  <c r="CO191" i="1"/>
  <c r="CP191" i="1"/>
  <c r="CQ191" i="1"/>
  <c r="CR191" i="1"/>
  <c r="CS191" i="1"/>
  <c r="CT191" i="1"/>
  <c r="CU191" i="1"/>
  <c r="CV191" i="1"/>
  <c r="CW191" i="1"/>
  <c r="CX191" i="1"/>
  <c r="CY191" i="1"/>
  <c r="CZ191" i="1"/>
  <c r="DA191" i="1"/>
  <c r="DB191" i="1"/>
  <c r="DC191" i="1"/>
  <c r="DD191" i="1"/>
  <c r="DE191" i="1"/>
  <c r="DF191" i="1"/>
  <c r="DG191" i="1"/>
  <c r="DH191" i="1"/>
  <c r="DI191" i="1"/>
  <c r="DJ191" i="1"/>
  <c r="DK191" i="1"/>
  <c r="DL191" i="1"/>
  <c r="DM191" i="1"/>
  <c r="DN191" i="1"/>
  <c r="DO191" i="1"/>
  <c r="DP191" i="1"/>
  <c r="DQ191" i="1"/>
  <c r="DR191" i="1"/>
  <c r="DS191" i="1"/>
  <c r="DT191" i="1"/>
  <c r="DU191" i="1"/>
  <c r="DV191" i="1"/>
  <c r="DW191" i="1"/>
  <c r="DX191" i="1"/>
  <c r="DY191" i="1"/>
  <c r="DZ191" i="1"/>
  <c r="EA191" i="1"/>
  <c r="EB191" i="1"/>
  <c r="EC191" i="1"/>
  <c r="ED191" i="1"/>
  <c r="EE191" i="1"/>
  <c r="EF191" i="1"/>
  <c r="EG191" i="1"/>
  <c r="EH191" i="1"/>
  <c r="EI191" i="1"/>
  <c r="EJ191" i="1"/>
  <c r="EK191" i="1"/>
  <c r="EL191" i="1"/>
  <c r="EM191" i="1"/>
  <c r="EN191" i="1"/>
  <c r="EO191" i="1"/>
  <c r="EP191" i="1"/>
  <c r="EQ191" i="1"/>
  <c r="ER191" i="1"/>
  <c r="ES191" i="1"/>
  <c r="ET191" i="1"/>
  <c r="EU191" i="1"/>
  <c r="EV191" i="1"/>
  <c r="EW191" i="1"/>
  <c r="EX191" i="1"/>
  <c r="EY191" i="1"/>
  <c r="EZ191" i="1"/>
  <c r="FA191" i="1"/>
  <c r="FB191" i="1"/>
  <c r="FC191" i="1"/>
  <c r="FD191" i="1"/>
  <c r="FE191" i="1"/>
  <c r="FF191" i="1"/>
  <c r="FG191" i="1"/>
  <c r="FH191" i="1"/>
  <c r="FI191" i="1"/>
  <c r="FJ191" i="1"/>
  <c r="FK191" i="1"/>
  <c r="FL191" i="1"/>
  <c r="FM191" i="1"/>
  <c r="FN191" i="1"/>
  <c r="FO191" i="1"/>
  <c r="FP191" i="1"/>
  <c r="FQ191" i="1"/>
  <c r="FR191" i="1"/>
  <c r="FS191" i="1"/>
  <c r="FT191" i="1"/>
  <c r="FU191" i="1"/>
  <c r="FV191" i="1"/>
  <c r="FW191" i="1"/>
  <c r="FX191" i="1"/>
  <c r="FY191" i="1"/>
  <c r="FZ191" i="1"/>
  <c r="GA191" i="1"/>
  <c r="GB191" i="1"/>
  <c r="GC191" i="1"/>
  <c r="GD191" i="1"/>
  <c r="GE191" i="1"/>
  <c r="GF191" i="1"/>
  <c r="GG191" i="1"/>
  <c r="GH191" i="1"/>
  <c r="GI191" i="1"/>
  <c r="GJ191" i="1"/>
  <c r="GK191" i="1"/>
  <c r="GL191" i="1"/>
  <c r="GM191" i="1"/>
  <c r="GN191" i="1"/>
  <c r="GO191" i="1"/>
  <c r="GP191" i="1"/>
  <c r="GQ191" i="1"/>
  <c r="GR191" i="1"/>
  <c r="GS191" i="1"/>
  <c r="GT191" i="1"/>
  <c r="GU191" i="1"/>
  <c r="GV191" i="1"/>
  <c r="GW191" i="1"/>
  <c r="GX191" i="1"/>
  <c r="AC193" i="1"/>
  <c r="AD193" i="1"/>
  <c r="AE193" i="1"/>
  <c r="AF193" i="1"/>
  <c r="CT193" i="1" s="1"/>
  <c r="S193" i="1" s="1"/>
  <c r="CY193" i="1" s="1"/>
  <c r="X193" i="1" s="1"/>
  <c r="AG193" i="1"/>
  <c r="CU193" i="1" s="1"/>
  <c r="T193" i="1" s="1"/>
  <c r="AH193" i="1"/>
  <c r="CV193" i="1" s="1"/>
  <c r="U193" i="1" s="1"/>
  <c r="AI193" i="1"/>
  <c r="CW193" i="1" s="1"/>
  <c r="V193" i="1" s="1"/>
  <c r="AJ193" i="1"/>
  <c r="CX193" i="1" s="1"/>
  <c r="W193" i="1" s="1"/>
  <c r="CQ193" i="1"/>
  <c r="P193" i="1" s="1"/>
  <c r="CP193" i="1" s="1"/>
  <c r="O193" i="1" s="1"/>
  <c r="CR193" i="1"/>
  <c r="Q193" i="1" s="1"/>
  <c r="CS193" i="1"/>
  <c r="R193" i="1" s="1"/>
  <c r="CZ193" i="1"/>
  <c r="Y193" i="1" s="1"/>
  <c r="GK193" i="1"/>
  <c r="GL193" i="1"/>
  <c r="GO193" i="1"/>
  <c r="GP193" i="1"/>
  <c r="GV193" i="1"/>
  <c r="HC193" i="1"/>
  <c r="GX193" i="1" s="1"/>
  <c r="P194" i="1"/>
  <c r="R194" i="1"/>
  <c r="U194" i="1"/>
  <c r="AC194" i="1"/>
  <c r="CQ194" i="1" s="1"/>
  <c r="AE194" i="1"/>
  <c r="AD194" i="1" s="1"/>
  <c r="AF194" i="1"/>
  <c r="CT194" i="1" s="1"/>
  <c r="S194" i="1" s="1"/>
  <c r="AG194" i="1"/>
  <c r="CU194" i="1" s="1"/>
  <c r="T194" i="1" s="1"/>
  <c r="AH194" i="1"/>
  <c r="AI194" i="1"/>
  <c r="CW194" i="1" s="1"/>
  <c r="V194" i="1" s="1"/>
  <c r="AJ194" i="1"/>
  <c r="CX194" i="1" s="1"/>
  <c r="W194" i="1" s="1"/>
  <c r="CR194" i="1"/>
  <c r="Q194" i="1" s="1"/>
  <c r="CP194" i="1" s="1"/>
  <c r="O194" i="1" s="1"/>
  <c r="CS194" i="1"/>
  <c r="CV194" i="1"/>
  <c r="GK194" i="1"/>
  <c r="GL194" i="1"/>
  <c r="GO194" i="1"/>
  <c r="GP194" i="1"/>
  <c r="GV194" i="1"/>
  <c r="HC194" i="1"/>
  <c r="GX194" i="1" s="1"/>
  <c r="S195" i="1"/>
  <c r="U195" i="1"/>
  <c r="V195" i="1"/>
  <c r="W195" i="1"/>
  <c r="AC195" i="1"/>
  <c r="AE195" i="1"/>
  <c r="AF195" i="1"/>
  <c r="CT195" i="1" s="1"/>
  <c r="AG195" i="1"/>
  <c r="AH195" i="1"/>
  <c r="AI195" i="1"/>
  <c r="AJ195" i="1"/>
  <c r="CU195" i="1"/>
  <c r="T195" i="1" s="1"/>
  <c r="CV195" i="1"/>
  <c r="CW195" i="1"/>
  <c r="CX195" i="1"/>
  <c r="GL195" i="1"/>
  <c r="GO195" i="1"/>
  <c r="GP195" i="1"/>
  <c r="GV195" i="1"/>
  <c r="HC195" i="1"/>
  <c r="GX195" i="1" s="1"/>
  <c r="CJ202" i="1" s="1"/>
  <c r="AC196" i="1"/>
  <c r="AB196" i="1" s="1"/>
  <c r="AE196" i="1"/>
  <c r="AD196" i="1" s="1"/>
  <c r="AF196" i="1"/>
  <c r="AG196" i="1"/>
  <c r="AH196" i="1"/>
  <c r="AI196" i="1"/>
  <c r="AJ196" i="1"/>
  <c r="CX196" i="1" s="1"/>
  <c r="W196" i="1" s="1"/>
  <c r="CQ196" i="1"/>
  <c r="P196" i="1" s="1"/>
  <c r="CR196" i="1"/>
  <c r="Q196" i="1" s="1"/>
  <c r="CS196" i="1"/>
  <c r="R196" i="1" s="1"/>
  <c r="GK196" i="1" s="1"/>
  <c r="CT196" i="1"/>
  <c r="S196" i="1" s="1"/>
  <c r="CU196" i="1"/>
  <c r="T196" i="1" s="1"/>
  <c r="CV196" i="1"/>
  <c r="U196" i="1" s="1"/>
  <c r="CW196" i="1"/>
  <c r="V196" i="1" s="1"/>
  <c r="GL196" i="1"/>
  <c r="GO196" i="1"/>
  <c r="GP196" i="1"/>
  <c r="GV196" i="1"/>
  <c r="HC196" i="1"/>
  <c r="GX196" i="1" s="1"/>
  <c r="P197" i="1"/>
  <c r="CP197" i="1" s="1"/>
  <c r="O197" i="1" s="1"/>
  <c r="GM197" i="1" s="1"/>
  <c r="GN197" i="1" s="1"/>
  <c r="Q197" i="1"/>
  <c r="R197" i="1"/>
  <c r="S197" i="1"/>
  <c r="T197" i="1"/>
  <c r="V197" i="1"/>
  <c r="W197" i="1"/>
  <c r="X197" i="1"/>
  <c r="AB197" i="1"/>
  <c r="AC197" i="1"/>
  <c r="AE197" i="1"/>
  <c r="AD197" i="1" s="1"/>
  <c r="AF197" i="1"/>
  <c r="AG197" i="1"/>
  <c r="AH197" i="1"/>
  <c r="CV197" i="1" s="1"/>
  <c r="U197" i="1" s="1"/>
  <c r="AI197" i="1"/>
  <c r="AJ197" i="1"/>
  <c r="CQ197" i="1"/>
  <c r="CR197" i="1"/>
  <c r="CS197" i="1"/>
  <c r="CT197" i="1"/>
  <c r="CU197" i="1"/>
  <c r="CW197" i="1"/>
  <c r="CX197" i="1"/>
  <c r="CY197" i="1"/>
  <c r="CZ197" i="1"/>
  <c r="Y197" i="1" s="1"/>
  <c r="GK197" i="1"/>
  <c r="GL197" i="1"/>
  <c r="GO197" i="1"/>
  <c r="GP197" i="1"/>
  <c r="GV197" i="1"/>
  <c r="HC197" i="1"/>
  <c r="GX197" i="1" s="1"/>
  <c r="AC198" i="1"/>
  <c r="CQ198" i="1" s="1"/>
  <c r="P198" i="1" s="1"/>
  <c r="AE198" i="1"/>
  <c r="AF198" i="1"/>
  <c r="AG198" i="1"/>
  <c r="CU198" i="1" s="1"/>
  <c r="T198" i="1" s="1"/>
  <c r="AH198" i="1"/>
  <c r="AI198" i="1"/>
  <c r="AJ198" i="1"/>
  <c r="CT198" i="1"/>
  <c r="S198" i="1" s="1"/>
  <c r="CV198" i="1"/>
  <c r="U198" i="1" s="1"/>
  <c r="CW198" i="1"/>
  <c r="V198" i="1" s="1"/>
  <c r="CX198" i="1"/>
  <c r="W198" i="1" s="1"/>
  <c r="CY198" i="1"/>
  <c r="X198" i="1" s="1"/>
  <c r="CZ198" i="1"/>
  <c r="Y198" i="1" s="1"/>
  <c r="GL198" i="1"/>
  <c r="GO198" i="1"/>
  <c r="GP198" i="1"/>
  <c r="GV198" i="1"/>
  <c r="HC198" i="1"/>
  <c r="GX198" i="1" s="1"/>
  <c r="AC199" i="1"/>
  <c r="CQ199" i="1" s="1"/>
  <c r="P199" i="1" s="1"/>
  <c r="AD199" i="1"/>
  <c r="AE199" i="1"/>
  <c r="AF199" i="1"/>
  <c r="CT199" i="1" s="1"/>
  <c r="S199" i="1" s="1"/>
  <c r="AG199" i="1"/>
  <c r="CU199" i="1" s="1"/>
  <c r="T199" i="1" s="1"/>
  <c r="AH199" i="1"/>
  <c r="CV199" i="1" s="1"/>
  <c r="U199" i="1" s="1"/>
  <c r="AI199" i="1"/>
  <c r="CW199" i="1" s="1"/>
  <c r="V199" i="1" s="1"/>
  <c r="AJ199" i="1"/>
  <c r="CX199" i="1" s="1"/>
  <c r="W199" i="1" s="1"/>
  <c r="GL199" i="1"/>
  <c r="GO199" i="1"/>
  <c r="GP199" i="1"/>
  <c r="GV199" i="1"/>
  <c r="HC199" i="1"/>
  <c r="GX199" i="1" s="1"/>
  <c r="P200" i="1"/>
  <c r="Q200" i="1"/>
  <c r="R200" i="1"/>
  <c r="GK200" i="1" s="1"/>
  <c r="T200" i="1"/>
  <c r="AG202" i="1" s="1"/>
  <c r="U200" i="1"/>
  <c r="V200" i="1"/>
  <c r="W200" i="1"/>
  <c r="Y200" i="1"/>
  <c r="AB200" i="1"/>
  <c r="AC200" i="1"/>
  <c r="AD200" i="1"/>
  <c r="AE200" i="1"/>
  <c r="AF200" i="1"/>
  <c r="AG200" i="1"/>
  <c r="AH200" i="1"/>
  <c r="AI200" i="1"/>
  <c r="CW200" i="1" s="1"/>
  <c r="AJ200" i="1"/>
  <c r="CQ200" i="1"/>
  <c r="CR200" i="1"/>
  <c r="CS200" i="1"/>
  <c r="CT200" i="1"/>
  <c r="S200" i="1" s="1"/>
  <c r="CU200" i="1"/>
  <c r="CV200" i="1"/>
  <c r="CX200" i="1"/>
  <c r="CY200" i="1"/>
  <c r="X200" i="1" s="1"/>
  <c r="CZ200" i="1"/>
  <c r="GL200" i="1"/>
  <c r="BZ202" i="1" s="1"/>
  <c r="GO200" i="1"/>
  <c r="GP200" i="1"/>
  <c r="GV200" i="1"/>
  <c r="HC200" i="1" s="1"/>
  <c r="GX200" i="1" s="1"/>
  <c r="B202" i="1"/>
  <c r="C202" i="1"/>
  <c r="D202" i="1"/>
  <c r="F202" i="1"/>
  <c r="G202" i="1"/>
  <c r="G191" i="1" s="1"/>
  <c r="BB202" i="1"/>
  <c r="F215" i="1" s="1"/>
  <c r="BC202" i="1"/>
  <c r="F218" i="1" s="1"/>
  <c r="BD202" i="1"/>
  <c r="BD191" i="1" s="1"/>
  <c r="BX202" i="1"/>
  <c r="BY202" i="1"/>
  <c r="CK202" i="1"/>
  <c r="CL202" i="1"/>
  <c r="CM202" i="1"/>
  <c r="F227" i="1"/>
  <c r="B232" i="1"/>
  <c r="C232" i="1"/>
  <c r="D232" i="1"/>
  <c r="D151" i="1" s="1"/>
  <c r="F232" i="1"/>
  <c r="G232" i="1"/>
  <c r="BB232" i="1"/>
  <c r="BC232" i="1"/>
  <c r="BD232" i="1"/>
  <c r="BD151" i="1" s="1"/>
  <c r="F257" i="1"/>
  <c r="B264" i="1"/>
  <c r="B18" i="1" s="1"/>
  <c r="C264" i="1"/>
  <c r="C18" i="1" s="1"/>
  <c r="D264" i="1"/>
  <c r="D18" i="1" s="1"/>
  <c r="F264" i="1"/>
  <c r="G264" i="1"/>
  <c r="A3" i="9" s="1"/>
  <c r="F12" i="6"/>
  <c r="G12" i="6"/>
  <c r="J103" i="7" l="1"/>
  <c r="J155" i="7"/>
  <c r="J90" i="7"/>
  <c r="J67" i="7"/>
  <c r="I47" i="7"/>
  <c r="J82" i="7"/>
  <c r="J56" i="7"/>
  <c r="J69" i="7"/>
  <c r="J111" i="7"/>
  <c r="J156" i="7"/>
  <c r="J170" i="7"/>
  <c r="I174" i="7" s="1"/>
  <c r="J91" i="7"/>
  <c r="J102" i="7"/>
  <c r="I105" i="7" s="1"/>
  <c r="J154" i="7"/>
  <c r="I158" i="7" s="1"/>
  <c r="J186" i="7"/>
  <c r="I93" i="7"/>
  <c r="J187" i="7"/>
  <c r="J55" i="7"/>
  <c r="I58" i="7" s="1"/>
  <c r="K58" i="7" s="1"/>
  <c r="I135" i="7"/>
  <c r="P135" i="7" s="1"/>
  <c r="J188" i="7"/>
  <c r="I200" i="7"/>
  <c r="K200" i="7" s="1"/>
  <c r="J205" i="7"/>
  <c r="I208" i="7" s="1"/>
  <c r="J206" i="7"/>
  <c r="J171" i="7"/>
  <c r="J172" i="7"/>
  <c r="J120" i="7"/>
  <c r="J80" i="7"/>
  <c r="J121" i="7"/>
  <c r="J68" i="7"/>
  <c r="I71" i="7" s="1"/>
  <c r="K71" i="7" s="1"/>
  <c r="J81" i="7"/>
  <c r="J110" i="7"/>
  <c r="J122" i="7"/>
  <c r="A254" i="7"/>
  <c r="G18" i="1"/>
  <c r="M40" i="10"/>
  <c r="R48" i="10"/>
  <c r="D54" i="9"/>
  <c r="D29" i="9"/>
  <c r="D53" i="9"/>
  <c r="D28" i="9"/>
  <c r="D52" i="9"/>
  <c r="D51" i="9"/>
  <c r="D26" i="9"/>
  <c r="D8" i="9"/>
  <c r="D44" i="9"/>
  <c r="D22" i="9"/>
  <c r="D14" i="9"/>
  <c r="D37" i="9"/>
  <c r="D36" i="9"/>
  <c r="D49" i="9"/>
  <c r="D34" i="9"/>
  <c r="D48" i="9"/>
  <c r="D33" i="9"/>
  <c r="D47" i="9"/>
  <c r="D23" i="9"/>
  <c r="D46" i="9"/>
  <c r="D7" i="9"/>
  <c r="D45" i="9"/>
  <c r="D10" i="9"/>
  <c r="O18" i="10"/>
  <c r="T40" i="10"/>
  <c r="D13" i="9"/>
  <c r="D11" i="9"/>
  <c r="O55" i="10"/>
  <c r="D9" i="9"/>
  <c r="O9" i="10"/>
  <c r="M29" i="10"/>
  <c r="R55" i="10"/>
  <c r="M66" i="10"/>
  <c r="D32" i="9"/>
  <c r="R9" i="10"/>
  <c r="R15" i="10"/>
  <c r="R18" i="10"/>
  <c r="O29" i="10"/>
  <c r="R37" i="10"/>
  <c r="T55" i="10"/>
  <c r="O66" i="10"/>
  <c r="D25" i="9"/>
  <c r="T9" i="10"/>
  <c r="R29" i="10"/>
  <c r="T37" i="10"/>
  <c r="R66" i="10"/>
  <c r="D18" i="9"/>
  <c r="M14" i="10"/>
  <c r="T29" i="10"/>
  <c r="T66" i="10"/>
  <c r="D40" i="9"/>
  <c r="M17" i="10"/>
  <c r="D41" i="9"/>
  <c r="O44" i="10"/>
  <c r="D42" i="9"/>
  <c r="T22" i="10"/>
  <c r="R22" i="10"/>
  <c r="R19" i="10"/>
  <c r="O21" i="10"/>
  <c r="M21" i="10"/>
  <c r="O40" i="10"/>
  <c r="D17" i="9"/>
  <c r="R40" i="10"/>
  <c r="T48" i="10"/>
  <c r="D27" i="9"/>
  <c r="D15" i="9"/>
  <c r="D19" i="9"/>
  <c r="R14" i="10"/>
  <c r="D24" i="9"/>
  <c r="M22" i="10"/>
  <c r="D20" i="9"/>
  <c r="M51" i="10"/>
  <c r="D12" i="9"/>
  <c r="O33" i="10"/>
  <c r="O51" i="10"/>
  <c r="M61" i="10"/>
  <c r="O70" i="10"/>
  <c r="D43" i="9"/>
  <c r="M25" i="10"/>
  <c r="M16" i="10"/>
  <c r="R17" i="10"/>
  <c r="R21" i="10"/>
  <c r="D35" i="9"/>
  <c r="D50" i="9"/>
  <c r="M15" i="10"/>
  <c r="R16" i="10"/>
  <c r="M19" i="10"/>
  <c r="D30" i="9"/>
  <c r="D38" i="9"/>
  <c r="D55" i="9"/>
  <c r="D31" i="9"/>
  <c r="D39" i="9"/>
  <c r="P93" i="7"/>
  <c r="K93" i="7"/>
  <c r="P242" i="7"/>
  <c r="K242" i="7"/>
  <c r="K238" i="7"/>
  <c r="P238" i="7"/>
  <c r="K232" i="7"/>
  <c r="P232" i="7"/>
  <c r="K47" i="7"/>
  <c r="P47" i="7"/>
  <c r="P236" i="7"/>
  <c r="K236" i="7"/>
  <c r="K230" i="7"/>
  <c r="P230" i="7"/>
  <c r="K240" i="7"/>
  <c r="P240" i="7"/>
  <c r="P223" i="7"/>
  <c r="K223" i="7"/>
  <c r="P234" i="7"/>
  <c r="K234" i="7"/>
  <c r="I113" i="7"/>
  <c r="K244" i="7"/>
  <c r="P244" i="7"/>
  <c r="I142" i="7"/>
  <c r="BA202" i="1"/>
  <c r="CJ191" i="1"/>
  <c r="CC26" i="1"/>
  <c r="AT86" i="1"/>
  <c r="BZ191" i="1"/>
  <c r="AQ202" i="1"/>
  <c r="CI202" i="1"/>
  <c r="T202" i="1"/>
  <c r="AG191" i="1"/>
  <c r="F177" i="1"/>
  <c r="AT155" i="1"/>
  <c r="U71" i="1"/>
  <c r="GM67" i="1"/>
  <c r="GP67" i="1" s="1"/>
  <c r="CY195" i="1"/>
  <c r="X195" i="1" s="1"/>
  <c r="CZ195" i="1"/>
  <c r="Y195" i="1" s="1"/>
  <c r="T71" i="1"/>
  <c r="CQ46" i="1"/>
  <c r="AB46" i="1"/>
  <c r="CZ33" i="1"/>
  <c r="Y33" i="1" s="1"/>
  <c r="CY33" i="1"/>
  <c r="X33" i="1" s="1"/>
  <c r="AQ86" i="1"/>
  <c r="BZ26" i="1"/>
  <c r="CG86" i="1"/>
  <c r="CI86" i="1"/>
  <c r="CP28" i="1"/>
  <c r="O28" i="1" s="1"/>
  <c r="CV1" i="3"/>
  <c r="CX1" i="3"/>
  <c r="CX59" i="3"/>
  <c r="CV59" i="3"/>
  <c r="R71" i="1"/>
  <c r="GK71" i="1" s="1"/>
  <c r="AB47" i="1"/>
  <c r="CG159" i="1"/>
  <c r="CH159" i="1"/>
  <c r="CI159" i="1"/>
  <c r="BZ155" i="1"/>
  <c r="Q71" i="1"/>
  <c r="P71" i="1"/>
  <c r="CY54" i="1"/>
  <c r="X54" i="1" s="1"/>
  <c r="CZ54" i="1"/>
  <c r="Y54" i="1" s="1"/>
  <c r="S35" i="1"/>
  <c r="GX35" i="1"/>
  <c r="T35" i="1"/>
  <c r="CP33" i="1"/>
  <c r="O33" i="1" s="1"/>
  <c r="GM33" i="1" s="1"/>
  <c r="GP33" i="1" s="1"/>
  <c r="AQ159" i="1"/>
  <c r="CC155" i="1"/>
  <c r="GX75" i="1"/>
  <c r="CY30" i="1"/>
  <c r="X30" i="1" s="1"/>
  <c r="GM30" i="1" s="1"/>
  <c r="GP30" i="1" s="1"/>
  <c r="CZ30" i="1"/>
  <c r="Y30" i="1" s="1"/>
  <c r="F168" i="1"/>
  <c r="AP155" i="1"/>
  <c r="CP54" i="1"/>
  <c r="O54" i="1" s="1"/>
  <c r="CZ41" i="1"/>
  <c r="Y41" i="1" s="1"/>
  <c r="CY41" i="1"/>
  <c r="X41" i="1" s="1"/>
  <c r="GM41" i="1" s="1"/>
  <c r="GP41" i="1" s="1"/>
  <c r="AP202" i="1"/>
  <c r="BY191" i="1"/>
  <c r="CP200" i="1"/>
  <c r="O200" i="1" s="1"/>
  <c r="GM200" i="1" s="1"/>
  <c r="GN200" i="1" s="1"/>
  <c r="AO155" i="1"/>
  <c r="F163" i="1"/>
  <c r="CZ59" i="1"/>
  <c r="Y59" i="1" s="1"/>
  <c r="CY59" i="1"/>
  <c r="X59" i="1" s="1"/>
  <c r="CP55" i="1"/>
  <c r="O55" i="1" s="1"/>
  <c r="AB54" i="1"/>
  <c r="CY53" i="1"/>
  <c r="X53" i="1" s="1"/>
  <c r="CZ53" i="1"/>
  <c r="Y53" i="1" s="1"/>
  <c r="AB37" i="1"/>
  <c r="CQ37" i="1"/>
  <c r="P37" i="1" s="1"/>
  <c r="DF39" i="3"/>
  <c r="DI39" i="3"/>
  <c r="DJ39" i="3" s="1"/>
  <c r="DH39" i="3"/>
  <c r="DG39" i="3"/>
  <c r="AB78" i="1"/>
  <c r="AB55" i="1"/>
  <c r="CS53" i="1"/>
  <c r="R53" i="1" s="1"/>
  <c r="GK53" i="1" s="1"/>
  <c r="CR53" i="1"/>
  <c r="Q53" i="1" s="1"/>
  <c r="AD53" i="1"/>
  <c r="AB53" i="1" s="1"/>
  <c r="DG44" i="3"/>
  <c r="DH44" i="3"/>
  <c r="DI44" i="3"/>
  <c r="DF44" i="3"/>
  <c r="DJ44" i="3" s="1"/>
  <c r="F248" i="1"/>
  <c r="BC151" i="1"/>
  <c r="AI155" i="1"/>
  <c r="V159" i="1"/>
  <c r="AB79" i="1"/>
  <c r="CP74" i="1"/>
  <c r="O74" i="1" s="1"/>
  <c r="I64" i="1"/>
  <c r="S64" i="1" s="1"/>
  <c r="CU50" i="3"/>
  <c r="CX55" i="3"/>
  <c r="I66" i="1"/>
  <c r="CX50" i="3"/>
  <c r="CW52" i="3"/>
  <c r="I63" i="1"/>
  <c r="CW51" i="3"/>
  <c r="I61" i="1"/>
  <c r="Q61" i="1" s="1"/>
  <c r="CX52" i="3"/>
  <c r="I62" i="1"/>
  <c r="CV50" i="3"/>
  <c r="I65" i="1"/>
  <c r="S65" i="1" s="1"/>
  <c r="V60" i="1"/>
  <c r="CX56" i="3"/>
  <c r="DH9" i="3"/>
  <c r="DF9" i="3"/>
  <c r="DJ9" i="3" s="1"/>
  <c r="DG9" i="3"/>
  <c r="DI9" i="3"/>
  <c r="F245" i="1"/>
  <c r="BB151" i="1"/>
  <c r="AG155" i="1"/>
  <c r="T159" i="1"/>
  <c r="CY81" i="1"/>
  <c r="X81" i="1" s="1"/>
  <c r="CZ81" i="1"/>
  <c r="Y81" i="1" s="1"/>
  <c r="CS65" i="1"/>
  <c r="CR65" i="1"/>
  <c r="GM193" i="1"/>
  <c r="S159" i="1"/>
  <c r="AF155" i="1"/>
  <c r="AB80" i="1"/>
  <c r="AD65" i="1"/>
  <c r="AB65" i="1" s="1"/>
  <c r="AB38" i="1"/>
  <c r="CQ38" i="1"/>
  <c r="P38" i="1" s="1"/>
  <c r="CP38" i="1" s="1"/>
  <c r="O38" i="1" s="1"/>
  <c r="GM38" i="1" s="1"/>
  <c r="GP38" i="1" s="1"/>
  <c r="DI70" i="3"/>
  <c r="DF70" i="3"/>
  <c r="DH70" i="3"/>
  <c r="DG70" i="3"/>
  <c r="DJ70" i="3" s="1"/>
  <c r="AJ202" i="1"/>
  <c r="GX60" i="1"/>
  <c r="CX54" i="3"/>
  <c r="AF202" i="1"/>
  <c r="AI202" i="1"/>
  <c r="AB82" i="1"/>
  <c r="CQ81" i="1"/>
  <c r="P81" i="1" s="1"/>
  <c r="CP81" i="1" s="1"/>
  <c r="O81" i="1" s="1"/>
  <c r="GM81" i="1" s="1"/>
  <c r="GP81" i="1" s="1"/>
  <c r="AB81" i="1"/>
  <c r="GX66" i="1"/>
  <c r="W35" i="1"/>
  <c r="CX51" i="3"/>
  <c r="AH202" i="1"/>
  <c r="V77" i="1"/>
  <c r="GX69" i="1"/>
  <c r="GX61" i="1"/>
  <c r="U77" i="1"/>
  <c r="GX64" i="1"/>
  <c r="CY42" i="1"/>
  <c r="X42" i="1" s="1"/>
  <c r="CZ42" i="1"/>
  <c r="Y42" i="1" s="1"/>
  <c r="DF35" i="3"/>
  <c r="DJ35" i="3" s="1"/>
  <c r="DG35" i="3"/>
  <c r="DH35" i="3"/>
  <c r="DI35" i="3"/>
  <c r="GX71" i="1"/>
  <c r="CY45" i="1"/>
  <c r="X45" i="1" s="1"/>
  <c r="CZ45" i="1"/>
  <c r="Y45" i="1" s="1"/>
  <c r="AH155" i="1"/>
  <c r="U159" i="1"/>
  <c r="S77" i="1"/>
  <c r="V73" i="1"/>
  <c r="W73" i="1"/>
  <c r="CY194" i="1"/>
  <c r="X194" i="1" s="1"/>
  <c r="AK202" i="1" s="1"/>
  <c r="CZ194" i="1"/>
  <c r="Y194" i="1" s="1"/>
  <c r="AL202" i="1" s="1"/>
  <c r="CY157" i="1"/>
  <c r="X157" i="1" s="1"/>
  <c r="AK159" i="1" s="1"/>
  <c r="CZ157" i="1"/>
  <c r="Y157" i="1" s="1"/>
  <c r="AL159" i="1" s="1"/>
  <c r="CY84" i="1"/>
  <c r="X84" i="1" s="1"/>
  <c r="CZ84" i="1"/>
  <c r="Y84" i="1" s="1"/>
  <c r="BA159" i="1"/>
  <c r="CJ155" i="1"/>
  <c r="CZ82" i="1"/>
  <c r="Y82" i="1" s="1"/>
  <c r="CZ67" i="1"/>
  <c r="Y67" i="1" s="1"/>
  <c r="CY67" i="1"/>
  <c r="X67" i="1" s="1"/>
  <c r="DI75" i="3"/>
  <c r="DG75" i="3"/>
  <c r="DH75" i="3"/>
  <c r="DF75" i="3"/>
  <c r="DJ75" i="3" s="1"/>
  <c r="AU159" i="1"/>
  <c r="CD155" i="1"/>
  <c r="GX73" i="1"/>
  <c r="V71" i="1"/>
  <c r="CP56" i="1"/>
  <c r="O56" i="1" s="1"/>
  <c r="GM56" i="1" s="1"/>
  <c r="GP56" i="1" s="1"/>
  <c r="CR46" i="1"/>
  <c r="Q46" i="1" s="1"/>
  <c r="CS46" i="1"/>
  <c r="DG4" i="3"/>
  <c r="DF4" i="3"/>
  <c r="DI4" i="3"/>
  <c r="DJ4" i="3" s="1"/>
  <c r="DH4" i="3"/>
  <c r="CR50" i="1"/>
  <c r="CS50" i="1"/>
  <c r="CZ31" i="1"/>
  <c r="Y31" i="1" s="1"/>
  <c r="CY31" i="1"/>
  <c r="X31" i="1" s="1"/>
  <c r="R159" i="1"/>
  <c r="AE155" i="1"/>
  <c r="W82" i="1"/>
  <c r="W71" i="1"/>
  <c r="U61" i="1"/>
  <c r="W60" i="1"/>
  <c r="CZ51" i="1"/>
  <c r="Y51" i="1" s="1"/>
  <c r="CY51" i="1"/>
  <c r="X51" i="1" s="1"/>
  <c r="AD50" i="1"/>
  <c r="AB50" i="1" s="1"/>
  <c r="Q48" i="1"/>
  <c r="CP48" i="1" s="1"/>
  <c r="O48" i="1" s="1"/>
  <c r="R48" i="1"/>
  <c r="GK48" i="1" s="1"/>
  <c r="CY47" i="1"/>
  <c r="X47" i="1" s="1"/>
  <c r="CZ47" i="1"/>
  <c r="Y47" i="1" s="1"/>
  <c r="V82" i="1"/>
  <c r="T75" i="1"/>
  <c r="T60" i="1"/>
  <c r="CP83" i="1"/>
  <c r="O83" i="1" s="1"/>
  <c r="GM83" i="1" s="1"/>
  <c r="GP83" i="1" s="1"/>
  <c r="Q60" i="1"/>
  <c r="P75" i="1"/>
  <c r="R64" i="1"/>
  <c r="GK64" i="1" s="1"/>
  <c r="CP52" i="1"/>
  <c r="O52" i="1" s="1"/>
  <c r="GM52" i="1" s="1"/>
  <c r="GP52" i="1" s="1"/>
  <c r="AB71" i="1"/>
  <c r="Q64" i="1"/>
  <c r="GX50" i="1"/>
  <c r="S43" i="1"/>
  <c r="I76" i="1"/>
  <c r="W76" i="1" s="1"/>
  <c r="I79" i="1"/>
  <c r="V79" i="1" s="1"/>
  <c r="I78" i="1"/>
  <c r="W78" i="1" s="1"/>
  <c r="I80" i="1"/>
  <c r="P80" i="1" s="1"/>
  <c r="CU68" i="3"/>
  <c r="CX68" i="3"/>
  <c r="CX73" i="3"/>
  <c r="I75" i="1"/>
  <c r="CX74" i="3"/>
  <c r="CW69" i="3"/>
  <c r="CX72" i="3"/>
  <c r="CV68" i="3"/>
  <c r="AB67" i="1"/>
  <c r="T48" i="1"/>
  <c r="CR36" i="1"/>
  <c r="Q36" i="1" s="1"/>
  <c r="CS36" i="1"/>
  <c r="R36" i="1" s="1"/>
  <c r="GK36" i="1" s="1"/>
  <c r="AD36" i="1"/>
  <c r="AB36" i="1" s="1"/>
  <c r="DI31" i="3"/>
  <c r="DH31" i="3"/>
  <c r="DF31" i="3"/>
  <c r="DJ31" i="3" s="1"/>
  <c r="DG31" i="3"/>
  <c r="V35" i="1"/>
  <c r="AB29" i="1"/>
  <c r="DG63" i="3"/>
  <c r="DH63" i="3"/>
  <c r="DF63" i="3"/>
  <c r="DJ63" i="3" s="1"/>
  <c r="DI63" i="3"/>
  <c r="CY72" i="1"/>
  <c r="X72" i="1" s="1"/>
  <c r="CZ72" i="1"/>
  <c r="Y72" i="1" s="1"/>
  <c r="S60" i="1"/>
  <c r="DG77" i="3"/>
  <c r="DH77" i="3"/>
  <c r="DI77" i="3"/>
  <c r="DJ77" i="3" s="1"/>
  <c r="DF77" i="3"/>
  <c r="CR75" i="1"/>
  <c r="Q75" i="1" s="1"/>
  <c r="CS75" i="1"/>
  <c r="R75" i="1" s="1"/>
  <c r="GK75" i="1" s="1"/>
  <c r="AD72" i="1"/>
  <c r="AB72" i="1" s="1"/>
  <c r="CR72" i="1"/>
  <c r="Q72" i="1" s="1"/>
  <c r="CS72" i="1"/>
  <c r="R72" i="1" s="1"/>
  <c r="GK72" i="1" s="1"/>
  <c r="R61" i="1"/>
  <c r="GK61" i="1" s="1"/>
  <c r="R60" i="1"/>
  <c r="GK60" i="1" s="1"/>
  <c r="W43" i="1"/>
  <c r="BB86" i="1"/>
  <c r="CK26" i="1"/>
  <c r="R82" i="1"/>
  <c r="GK82" i="1" s="1"/>
  <c r="AD75" i="1"/>
  <c r="CP51" i="1"/>
  <c r="O51" i="1" s="1"/>
  <c r="V43" i="1"/>
  <c r="DF24" i="3"/>
  <c r="DJ24" i="3" s="1"/>
  <c r="DH24" i="3"/>
  <c r="DI24" i="3"/>
  <c r="DG24" i="3"/>
  <c r="CP84" i="1"/>
  <c r="O84" i="1" s="1"/>
  <c r="AB83" i="1"/>
  <c r="CR68" i="1"/>
  <c r="Q68" i="1" s="1"/>
  <c r="CP68" i="1" s="1"/>
  <c r="O68" i="1" s="1"/>
  <c r="GM68" i="1" s="1"/>
  <c r="GP68" i="1" s="1"/>
  <c r="CS68" i="1"/>
  <c r="R68" i="1" s="1"/>
  <c r="GK68" i="1" s="1"/>
  <c r="S63" i="1"/>
  <c r="P61" i="1"/>
  <c r="U43" i="1"/>
  <c r="CZ196" i="1"/>
  <c r="Y196" i="1" s="1"/>
  <c r="CY196" i="1"/>
  <c r="X196" i="1" s="1"/>
  <c r="AB75" i="1"/>
  <c r="AB73" i="1"/>
  <c r="CQ73" i="1"/>
  <c r="P73" i="1" s="1"/>
  <c r="P69" i="1"/>
  <c r="AD68" i="1"/>
  <c r="AB68" i="1" s="1"/>
  <c r="T43" i="1"/>
  <c r="U35" i="1"/>
  <c r="DF65" i="3"/>
  <c r="DJ65" i="3" s="1"/>
  <c r="DG65" i="3"/>
  <c r="DH65" i="3"/>
  <c r="DI65" i="3"/>
  <c r="P77" i="1"/>
  <c r="AB69" i="1"/>
  <c r="CS58" i="1"/>
  <c r="R58" i="1" s="1"/>
  <c r="GK58" i="1" s="1"/>
  <c r="CR58" i="1"/>
  <c r="Q58" i="1" s="1"/>
  <c r="CP58" i="1" s="1"/>
  <c r="O58" i="1" s="1"/>
  <c r="GM58" i="1" s="1"/>
  <c r="GP58" i="1" s="1"/>
  <c r="U48" i="1"/>
  <c r="CZ36" i="1"/>
  <c r="Y36" i="1" s="1"/>
  <c r="CY36" i="1"/>
  <c r="X36" i="1" s="1"/>
  <c r="CY199" i="1"/>
  <c r="X199" i="1" s="1"/>
  <c r="CZ199" i="1"/>
  <c r="Y199" i="1" s="1"/>
  <c r="AW155" i="1"/>
  <c r="F165" i="1"/>
  <c r="AJ155" i="1"/>
  <c r="W159" i="1"/>
  <c r="CR199" i="1"/>
  <c r="Q199" i="1" s="1"/>
  <c r="CP199" i="1" s="1"/>
  <c r="O199" i="1" s="1"/>
  <c r="GM199" i="1" s="1"/>
  <c r="GN199" i="1" s="1"/>
  <c r="CS199" i="1"/>
  <c r="R199" i="1" s="1"/>
  <c r="GK199" i="1" s="1"/>
  <c r="CP196" i="1"/>
  <c r="O196" i="1" s="1"/>
  <c r="GM196" i="1" s="1"/>
  <c r="GN196" i="1" s="1"/>
  <c r="CS78" i="1"/>
  <c r="CR78" i="1"/>
  <c r="I77" i="1"/>
  <c r="W77" i="1" s="1"/>
  <c r="S48" i="1"/>
  <c r="CP42" i="1"/>
  <c r="O42" i="1" s="1"/>
  <c r="AB32" i="1"/>
  <c r="CB86" i="1"/>
  <c r="CX46" i="3"/>
  <c r="CW46" i="3"/>
  <c r="AD155" i="1"/>
  <c r="Q159" i="1"/>
  <c r="CR31" i="1"/>
  <c r="Q31" i="1" s="1"/>
  <c r="CS31" i="1"/>
  <c r="R31" i="1" s="1"/>
  <c r="GK31" i="1" s="1"/>
  <c r="DG6" i="3"/>
  <c r="DH6" i="3"/>
  <c r="DI6" i="3"/>
  <c r="DG2" i="3"/>
  <c r="DJ2" i="3" s="1"/>
  <c r="DH2" i="3"/>
  <c r="CQ31" i="1"/>
  <c r="P31" i="1" s="1"/>
  <c r="CP31" i="1" s="1"/>
  <c r="O31" i="1" s="1"/>
  <c r="GM31" i="1" s="1"/>
  <c r="GP31" i="1" s="1"/>
  <c r="P70" i="1"/>
  <c r="CP70" i="1" s="1"/>
  <c r="O70" i="1" s="1"/>
  <c r="W64" i="1"/>
  <c r="U73" i="1"/>
  <c r="GX70" i="1"/>
  <c r="T68" i="1"/>
  <c r="CR59" i="1"/>
  <c r="Q59" i="1" s="1"/>
  <c r="CP59" i="1" s="1"/>
  <c r="O59" i="1" s="1"/>
  <c r="GM59" i="1" s="1"/>
  <c r="GP59" i="1" s="1"/>
  <c r="CS59" i="1"/>
  <c r="R59" i="1" s="1"/>
  <c r="GK59" i="1" s="1"/>
  <c r="S32" i="1"/>
  <c r="P65" i="1"/>
  <c r="AB195" i="1"/>
  <c r="CQ195" i="1"/>
  <c r="P195" i="1" s="1"/>
  <c r="CD202" i="1"/>
  <c r="AD157" i="1"/>
  <c r="AB157" i="1" s="1"/>
  <c r="CE155" i="1"/>
  <c r="CM26" i="1"/>
  <c r="BD86" i="1"/>
  <c r="AP86" i="1"/>
  <c r="AB66" i="1"/>
  <c r="T64" i="1"/>
  <c r="CR55" i="1"/>
  <c r="Q55" i="1" s="1"/>
  <c r="CS55" i="1"/>
  <c r="R55" i="1" s="1"/>
  <c r="GK55" i="1" s="1"/>
  <c r="R45" i="1"/>
  <c r="GK45" i="1" s="1"/>
  <c r="BX191" i="1"/>
  <c r="CG202" i="1"/>
  <c r="AO202" i="1"/>
  <c r="R84" i="1"/>
  <c r="GK84" i="1" s="1"/>
  <c r="Q82" i="1"/>
  <c r="CP82" i="1" s="1"/>
  <c r="O82" i="1" s="1"/>
  <c r="GM82" i="1" s="1"/>
  <c r="GP82" i="1" s="1"/>
  <c r="W61" i="1"/>
  <c r="S44" i="1"/>
  <c r="CY39" i="1"/>
  <c r="X39" i="1" s="1"/>
  <c r="GM39" i="1" s="1"/>
  <c r="GP39" i="1" s="1"/>
  <c r="CZ39" i="1"/>
  <c r="Y39" i="1" s="1"/>
  <c r="AB199" i="1"/>
  <c r="AC155" i="1"/>
  <c r="P159" i="1"/>
  <c r="CQ64" i="1"/>
  <c r="P64" i="1" s="1"/>
  <c r="AB64" i="1"/>
  <c r="CQ53" i="1"/>
  <c r="P53" i="1" s="1"/>
  <c r="CS44" i="1"/>
  <c r="CR44" i="1"/>
  <c r="AD31" i="1"/>
  <c r="AB31" i="1" s="1"/>
  <c r="DH79" i="3"/>
  <c r="DF79" i="3"/>
  <c r="DJ79" i="3" s="1"/>
  <c r="DG79" i="3"/>
  <c r="DI79" i="3"/>
  <c r="DH23" i="3"/>
  <c r="DI23" i="3"/>
  <c r="DF23" i="3"/>
  <c r="DJ23" i="3" s="1"/>
  <c r="DG23" i="3"/>
  <c r="AD77" i="1"/>
  <c r="AB77" i="1" s="1"/>
  <c r="CR77" i="1"/>
  <c r="Q77" i="1" s="1"/>
  <c r="V76" i="1"/>
  <c r="T73" i="1"/>
  <c r="CS67" i="1"/>
  <c r="R67" i="1" s="1"/>
  <c r="GK67" i="1" s="1"/>
  <c r="AD67" i="1"/>
  <c r="CR63" i="1"/>
  <c r="CS63" i="1"/>
  <c r="CR56" i="1"/>
  <c r="Q56" i="1" s="1"/>
  <c r="CS56" i="1"/>
  <c r="R56" i="1" s="1"/>
  <c r="GK56" i="1" s="1"/>
  <c r="AD56" i="1"/>
  <c r="AB56" i="1" s="1"/>
  <c r="W48" i="1"/>
  <c r="AD44" i="1"/>
  <c r="AB44" i="1" s="1"/>
  <c r="CX69" i="3"/>
  <c r="DH48" i="3"/>
  <c r="DI48" i="3"/>
  <c r="DJ48" i="3" s="1"/>
  <c r="DG48" i="3"/>
  <c r="CS198" i="1"/>
  <c r="R198" i="1" s="1"/>
  <c r="GK198" i="1" s="1"/>
  <c r="CR198" i="1"/>
  <c r="Q198" i="1" s="1"/>
  <c r="CP198" i="1" s="1"/>
  <c r="O198" i="1" s="1"/>
  <c r="GM198" i="1" s="1"/>
  <c r="GN198" i="1" s="1"/>
  <c r="U76" i="1"/>
  <c r="S73" i="1"/>
  <c r="V69" i="1"/>
  <c r="AD63" i="1"/>
  <c r="AB63" i="1" s="1"/>
  <c r="V48" i="1"/>
  <c r="W47" i="1"/>
  <c r="CP34" i="1"/>
  <c r="O34" i="1" s="1"/>
  <c r="GM34" i="1" s="1"/>
  <c r="GP34" i="1" s="1"/>
  <c r="CR29" i="1"/>
  <c r="Q29" i="1" s="1"/>
  <c r="CS29" i="1"/>
  <c r="R29" i="1" s="1"/>
  <c r="DF8" i="3"/>
  <c r="DJ8" i="3" s="1"/>
  <c r="DG8" i="3"/>
  <c r="DH8" i="3"/>
  <c r="AD198" i="1"/>
  <c r="R73" i="1"/>
  <c r="GK73" i="1" s="1"/>
  <c r="U69" i="1"/>
  <c r="P63" i="1"/>
  <c r="I46" i="1"/>
  <c r="GX46" i="1" s="1"/>
  <c r="CX37" i="3"/>
  <c r="CU33" i="3"/>
  <c r="U45" i="1"/>
  <c r="I49" i="1"/>
  <c r="W49" i="1" s="1"/>
  <c r="CX38" i="3"/>
  <c r="CX34" i="3"/>
  <c r="AD29" i="1"/>
  <c r="BC191" i="1"/>
  <c r="AD80" i="1"/>
  <c r="Q73" i="1"/>
  <c r="S69" i="1"/>
  <c r="T55" i="1"/>
  <c r="CQ49" i="1"/>
  <c r="AB49" i="1"/>
  <c r="CS40" i="1"/>
  <c r="CR40" i="1"/>
  <c r="CZ38" i="1"/>
  <c r="Y38" i="1" s="1"/>
  <c r="DF81" i="3"/>
  <c r="DJ81" i="3" s="1"/>
  <c r="DI81" i="3"/>
  <c r="DG81" i="3"/>
  <c r="DH81" i="3"/>
  <c r="AB198" i="1"/>
  <c r="BB191" i="1"/>
  <c r="R69" i="1"/>
  <c r="GK69" i="1" s="1"/>
  <c r="CZ68" i="1"/>
  <c r="Y68" i="1" s="1"/>
  <c r="AB61" i="1"/>
  <c r="S55" i="1"/>
  <c r="AD40" i="1"/>
  <c r="V38" i="1"/>
  <c r="CU10" i="3"/>
  <c r="CW11" i="3"/>
  <c r="CX17" i="3"/>
  <c r="CX15" i="3"/>
  <c r="CX11" i="3"/>
  <c r="U36" i="1"/>
  <c r="CX19" i="3"/>
  <c r="CZ28" i="1"/>
  <c r="Y28" i="1" s="1"/>
  <c r="CY28" i="1"/>
  <c r="X28" i="1" s="1"/>
  <c r="DF64" i="3"/>
  <c r="DJ64" i="3" s="1"/>
  <c r="DG64" i="3"/>
  <c r="DF43" i="3"/>
  <c r="DG43" i="3"/>
  <c r="DJ43" i="3" s="1"/>
  <c r="DG25" i="3"/>
  <c r="DH25" i="3"/>
  <c r="DI25" i="3"/>
  <c r="DF25" i="3"/>
  <c r="DJ25" i="3" s="1"/>
  <c r="AB193" i="1"/>
  <c r="T84" i="1"/>
  <c r="Q69" i="1"/>
  <c r="I50" i="1"/>
  <c r="U38" i="1"/>
  <c r="P35" i="1"/>
  <c r="CX16" i="3"/>
  <c r="AD70" i="1"/>
  <c r="AB70" i="1" s="1"/>
  <c r="W45" i="1"/>
  <c r="AB40" i="1"/>
  <c r="AB35" i="1"/>
  <c r="AD28" i="1"/>
  <c r="AB28" i="1" s="1"/>
  <c r="W75" i="1"/>
  <c r="T46" i="1"/>
  <c r="V45" i="1"/>
  <c r="AD34" i="1"/>
  <c r="AB34" i="1" s="1"/>
  <c r="CR34" i="1"/>
  <c r="Q34" i="1" s="1"/>
  <c r="CS34" i="1"/>
  <c r="R34" i="1" s="1"/>
  <c r="GK34" i="1" s="1"/>
  <c r="CX36" i="3"/>
  <c r="CS195" i="1"/>
  <c r="R195" i="1" s="1"/>
  <c r="CR195" i="1"/>
  <c r="Q195" i="1" s="1"/>
  <c r="V64" i="1"/>
  <c r="AB43" i="1"/>
  <c r="DH22" i="3"/>
  <c r="DG22" i="3"/>
  <c r="DJ22" i="3" s="1"/>
  <c r="DI22" i="3"/>
  <c r="CX18" i="3"/>
  <c r="AD195" i="1"/>
  <c r="CF155" i="1"/>
  <c r="T69" i="1"/>
  <c r="U64" i="1"/>
  <c r="AD59" i="1"/>
  <c r="AB59" i="1" s="1"/>
  <c r="S50" i="1"/>
  <c r="CC202" i="1"/>
  <c r="CP157" i="1"/>
  <c r="O157" i="1" s="1"/>
  <c r="F120" i="1"/>
  <c r="CL26" i="1"/>
  <c r="BC86" i="1"/>
  <c r="CR83" i="1"/>
  <c r="Q83" i="1" s="1"/>
  <c r="CS83" i="1"/>
  <c r="R83" i="1" s="1"/>
  <c r="GK83" i="1" s="1"/>
  <c r="AD55" i="1"/>
  <c r="Q45" i="1"/>
  <c r="CP45" i="1" s="1"/>
  <c r="O45" i="1" s="1"/>
  <c r="DH61" i="3"/>
  <c r="DI61" i="3"/>
  <c r="DF61" i="3"/>
  <c r="DF29" i="3"/>
  <c r="DJ29" i="3" s="1"/>
  <c r="DG29" i="3"/>
  <c r="W70" i="1"/>
  <c r="R47" i="1"/>
  <c r="GK47" i="1" s="1"/>
  <c r="AB194" i="1"/>
  <c r="CS79" i="1"/>
  <c r="CR79" i="1"/>
  <c r="P60" i="1"/>
  <c r="CP60" i="1" s="1"/>
  <c r="O60" i="1" s="1"/>
  <c r="CY56" i="1"/>
  <c r="X56" i="1" s="1"/>
  <c r="I40" i="1"/>
  <c r="U40" i="1" s="1"/>
  <c r="CW21" i="3"/>
  <c r="CU20" i="3"/>
  <c r="CX20" i="3"/>
  <c r="W39" i="1"/>
  <c r="CX27" i="3"/>
  <c r="CR38" i="1"/>
  <c r="Q38" i="1" s="1"/>
  <c r="CS38" i="1"/>
  <c r="R38" i="1" s="1"/>
  <c r="GK38" i="1" s="1"/>
  <c r="W37" i="1"/>
  <c r="CX21" i="3"/>
  <c r="GX74" i="1"/>
  <c r="P72" i="1"/>
  <c r="AB58" i="1"/>
  <c r="V47" i="1"/>
  <c r="W38" i="1"/>
  <c r="CX80" i="3"/>
  <c r="CV80" i="3"/>
  <c r="CX76" i="3"/>
  <c r="DH49" i="3"/>
  <c r="DG49" i="3"/>
  <c r="DI45" i="3"/>
  <c r="DJ45" i="3" s="1"/>
  <c r="DF45" i="3"/>
  <c r="DH40" i="3"/>
  <c r="DI40" i="3"/>
  <c r="DG40" i="3"/>
  <c r="DF40" i="3"/>
  <c r="DJ40" i="3" s="1"/>
  <c r="Q32" i="1"/>
  <c r="DF30" i="3"/>
  <c r="DG30" i="3"/>
  <c r="W72" i="1"/>
  <c r="GX45" i="1"/>
  <c r="AB45" i="1"/>
  <c r="T41" i="1"/>
  <c r="S37" i="1"/>
  <c r="DF47" i="3"/>
  <c r="DJ47" i="3" s="1"/>
  <c r="DI47" i="3"/>
  <c r="AB51" i="1"/>
  <c r="CU30" i="3"/>
  <c r="I44" i="1"/>
  <c r="DG42" i="3"/>
  <c r="DF42" i="3"/>
  <c r="DH42" i="3"/>
  <c r="DI42" i="3"/>
  <c r="DJ42" i="3" s="1"/>
  <c r="CX57" i="3"/>
  <c r="CX13" i="3"/>
  <c r="I71" i="1"/>
  <c r="S71" i="1" s="1"/>
  <c r="CX67" i="3"/>
  <c r="GX48" i="1"/>
  <c r="Q47" i="1"/>
  <c r="CP47" i="1" s="1"/>
  <c r="O47" i="1" s="1"/>
  <c r="GM47" i="1" s="1"/>
  <c r="GP47" i="1" s="1"/>
  <c r="CW60" i="3"/>
  <c r="CX58" i="3"/>
  <c r="DF7" i="3"/>
  <c r="DJ7" i="3" s="1"/>
  <c r="DG7" i="3"/>
  <c r="DI7" i="3"/>
  <c r="U60" i="1"/>
  <c r="AB48" i="1"/>
  <c r="CR37" i="1"/>
  <c r="Q37" i="1" s="1"/>
  <c r="CS37" i="1"/>
  <c r="R37" i="1" s="1"/>
  <c r="GK37" i="1" s="1"/>
  <c r="AD30" i="1"/>
  <c r="AB30" i="1" s="1"/>
  <c r="CV33" i="3"/>
  <c r="CX33" i="3"/>
  <c r="P50" i="1"/>
  <c r="P36" i="1"/>
  <c r="CP36" i="1" s="1"/>
  <c r="O36" i="1" s="1"/>
  <c r="GM36" i="1" s="1"/>
  <c r="GP36" i="1" s="1"/>
  <c r="U29" i="1"/>
  <c r="CR35" i="1"/>
  <c r="Q35" i="1" s="1"/>
  <c r="CS35" i="1"/>
  <c r="R35" i="1" s="1"/>
  <c r="GK35" i="1" s="1"/>
  <c r="AD35" i="1"/>
  <c r="CV20" i="3"/>
  <c r="GX52" i="1"/>
  <c r="AB42" i="1"/>
  <c r="CX53" i="3"/>
  <c r="GX33" i="1"/>
  <c r="CX71" i="3"/>
  <c r="GX43" i="1"/>
  <c r="I190" i="7" l="1"/>
  <c r="I84" i="7"/>
  <c r="K135" i="7"/>
  <c r="I124" i="7"/>
  <c r="P71" i="7"/>
  <c r="I246" i="7"/>
  <c r="P200" i="7"/>
  <c r="P58" i="7"/>
  <c r="P190" i="7"/>
  <c r="K190" i="7"/>
  <c r="K142" i="7"/>
  <c r="P142" i="7"/>
  <c r="P105" i="7"/>
  <c r="K105" i="7"/>
  <c r="K158" i="7"/>
  <c r="P158" i="7"/>
  <c r="K113" i="7"/>
  <c r="P113" i="7"/>
  <c r="K208" i="7"/>
  <c r="P208" i="7"/>
  <c r="K174" i="7"/>
  <c r="P174" i="7"/>
  <c r="I249" i="7"/>
  <c r="I225" i="7"/>
  <c r="K84" i="7"/>
  <c r="P84" i="7"/>
  <c r="CZ71" i="1"/>
  <c r="Y71" i="1" s="1"/>
  <c r="CY71" i="1"/>
  <c r="X71" i="1" s="1"/>
  <c r="GM48" i="1"/>
  <c r="GP48" i="1" s="1"/>
  <c r="CY65" i="1"/>
  <c r="X65" i="1" s="1"/>
  <c r="CZ65" i="1"/>
  <c r="Y65" i="1" s="1"/>
  <c r="Y202" i="1"/>
  <c r="AL191" i="1"/>
  <c r="AK191" i="1"/>
  <c r="X202" i="1"/>
  <c r="V44" i="1"/>
  <c r="W44" i="1"/>
  <c r="AJ86" i="1" s="1"/>
  <c r="GX44" i="1"/>
  <c r="U44" i="1"/>
  <c r="AH86" i="1" s="1"/>
  <c r="DF76" i="3"/>
  <c r="DJ76" i="3" s="1"/>
  <c r="DH76" i="3"/>
  <c r="DG76" i="3"/>
  <c r="DI76" i="3"/>
  <c r="R79" i="1"/>
  <c r="GK79" i="1" s="1"/>
  <c r="CY48" i="1"/>
  <c r="X48" i="1" s="1"/>
  <c r="CZ48" i="1"/>
  <c r="Y48" i="1" s="1"/>
  <c r="CP77" i="1"/>
  <c r="O77" i="1" s="1"/>
  <c r="Q80" i="1"/>
  <c r="CY43" i="1"/>
  <c r="X43" i="1" s="1"/>
  <c r="CZ43" i="1"/>
  <c r="Y43" i="1" s="1"/>
  <c r="F178" i="1"/>
  <c r="AU155" i="1"/>
  <c r="T40" i="1"/>
  <c r="U80" i="1"/>
  <c r="F223" i="1"/>
  <c r="T191" i="1"/>
  <c r="S80" i="1"/>
  <c r="DH19" i="3"/>
  <c r="DI19" i="3"/>
  <c r="DF19" i="3"/>
  <c r="DJ19" i="3" s="1"/>
  <c r="DG19" i="3"/>
  <c r="F206" i="1"/>
  <c r="AO191" i="1"/>
  <c r="T49" i="1"/>
  <c r="T78" i="1"/>
  <c r="F181" i="1"/>
  <c r="U155" i="1"/>
  <c r="AH191" i="1"/>
  <c r="U202" i="1"/>
  <c r="P62" i="1"/>
  <c r="Q62" i="1"/>
  <c r="R62" i="1"/>
  <c r="GK62" i="1" s="1"/>
  <c r="S62" i="1"/>
  <c r="T62" i="1"/>
  <c r="U62" i="1"/>
  <c r="V62" i="1"/>
  <c r="W62" i="1"/>
  <c r="CI191" i="1"/>
  <c r="AZ202" i="1"/>
  <c r="U49" i="1"/>
  <c r="T65" i="1"/>
  <c r="T76" i="1"/>
  <c r="CG191" i="1"/>
  <c r="AX202" i="1"/>
  <c r="GM84" i="1"/>
  <c r="GP84" i="1" s="1"/>
  <c r="R77" i="1"/>
  <c r="GK77" i="1" s="1"/>
  <c r="DH51" i="3"/>
  <c r="DG51" i="3"/>
  <c r="DJ51" i="3" s="1"/>
  <c r="DI51" i="3"/>
  <c r="DF51" i="3"/>
  <c r="DF52" i="3"/>
  <c r="DG52" i="3"/>
  <c r="DJ52" i="3" s="1"/>
  <c r="DH52" i="3"/>
  <c r="DI52" i="3"/>
  <c r="F212" i="1"/>
  <c r="AQ191" i="1"/>
  <c r="DF18" i="3"/>
  <c r="DJ18" i="3" s="1"/>
  <c r="DG18" i="3"/>
  <c r="DI18" i="3"/>
  <c r="DH18" i="3"/>
  <c r="DH11" i="3"/>
  <c r="DG11" i="3"/>
  <c r="DJ11" i="3" s="1"/>
  <c r="DF11" i="3"/>
  <c r="DI11" i="3"/>
  <c r="P49" i="1"/>
  <c r="CP49" i="1" s="1"/>
  <c r="O49" i="1" s="1"/>
  <c r="DF69" i="3"/>
  <c r="DH69" i="3"/>
  <c r="DI69" i="3"/>
  <c r="DG69" i="3"/>
  <c r="DJ69" i="3" s="1"/>
  <c r="CP32" i="1"/>
  <c r="O32" i="1" s="1"/>
  <c r="AO232" i="1"/>
  <c r="CY35" i="1"/>
  <c r="X35" i="1" s="1"/>
  <c r="CZ35" i="1"/>
  <c r="Y35" i="1" s="1"/>
  <c r="GX62" i="1"/>
  <c r="V40" i="1"/>
  <c r="DH16" i="3"/>
  <c r="DI16" i="3"/>
  <c r="DF16" i="3"/>
  <c r="DJ16" i="3" s="1"/>
  <c r="DG16" i="3"/>
  <c r="DI15" i="3"/>
  <c r="DH15" i="3"/>
  <c r="DF15" i="3"/>
  <c r="DJ15" i="3" s="1"/>
  <c r="DG15" i="3"/>
  <c r="GM70" i="1"/>
  <c r="GP70" i="1" s="1"/>
  <c r="R78" i="1"/>
  <c r="GK78" i="1" s="1"/>
  <c r="CP43" i="1"/>
  <c r="O43" i="1" s="1"/>
  <c r="GM43" i="1" s="1"/>
  <c r="GP43" i="1" s="1"/>
  <c r="F174" i="1"/>
  <c r="S232" i="1"/>
  <c r="S155" i="1"/>
  <c r="F104" i="1"/>
  <c r="AT26" i="1"/>
  <c r="AT116" i="1"/>
  <c r="CY37" i="1"/>
  <c r="X37" i="1" s="1"/>
  <c r="CZ37" i="1"/>
  <c r="Y37" i="1" s="1"/>
  <c r="CP35" i="1"/>
  <c r="O35" i="1" s="1"/>
  <c r="GM35" i="1" s="1"/>
  <c r="GP35" i="1" s="1"/>
  <c r="DF17" i="3"/>
  <c r="DJ17" i="3" s="1"/>
  <c r="DG17" i="3"/>
  <c r="DH17" i="3"/>
  <c r="DI17" i="3"/>
  <c r="R80" i="1"/>
  <c r="GK80" i="1" s="1"/>
  <c r="S79" i="1"/>
  <c r="V80" i="1"/>
  <c r="F173" i="1"/>
  <c r="R155" i="1"/>
  <c r="S46" i="1"/>
  <c r="U63" i="1"/>
  <c r="V63" i="1"/>
  <c r="W63" i="1"/>
  <c r="GX63" i="1"/>
  <c r="DH71" i="3"/>
  <c r="DI71" i="3"/>
  <c r="DF71" i="3"/>
  <c r="DJ71" i="3" s="1"/>
  <c r="DG71" i="3"/>
  <c r="Q44" i="1"/>
  <c r="S49" i="1"/>
  <c r="GN193" i="1"/>
  <c r="AP191" i="1"/>
  <c r="F211" i="1"/>
  <c r="CP71" i="1"/>
  <c r="O71" i="1" s="1"/>
  <c r="GM71" i="1" s="1"/>
  <c r="GP71" i="1" s="1"/>
  <c r="CP72" i="1"/>
  <c r="O72" i="1" s="1"/>
  <c r="GM72" i="1" s="1"/>
  <c r="GP72" i="1" s="1"/>
  <c r="T50" i="1"/>
  <c r="AG86" i="1" s="1"/>
  <c r="U50" i="1"/>
  <c r="V50" i="1"/>
  <c r="W50" i="1"/>
  <c r="CZ69" i="1"/>
  <c r="Y69" i="1" s="1"/>
  <c r="CY69" i="1"/>
  <c r="X69" i="1" s="1"/>
  <c r="R44" i="1"/>
  <c r="GK44" i="1" s="1"/>
  <c r="CP75" i="1"/>
  <c r="O75" i="1" s="1"/>
  <c r="Q65" i="1"/>
  <c r="CP65" i="1" s="1"/>
  <c r="O65" i="1" s="1"/>
  <c r="GM65" i="1" s="1"/>
  <c r="GP65" i="1" s="1"/>
  <c r="DG50" i="3"/>
  <c r="DH50" i="3"/>
  <c r="DI50" i="3"/>
  <c r="DJ50" i="3" s="1"/>
  <c r="DF50" i="3"/>
  <c r="W40" i="1"/>
  <c r="GX76" i="1"/>
  <c r="BA191" i="1"/>
  <c r="F222" i="1"/>
  <c r="DH53" i="3"/>
  <c r="DI53" i="3"/>
  <c r="DF53" i="3"/>
  <c r="DJ53" i="3" s="1"/>
  <c r="DG53" i="3"/>
  <c r="DI58" i="3"/>
  <c r="DF58" i="3"/>
  <c r="DJ58" i="3" s="1"/>
  <c r="DG58" i="3"/>
  <c r="DH58" i="3"/>
  <c r="GX40" i="1"/>
  <c r="CJ86" i="1" s="1"/>
  <c r="R50" i="1"/>
  <c r="GK50" i="1" s="1"/>
  <c r="T77" i="1"/>
  <c r="V202" i="1"/>
  <c r="AI191" i="1"/>
  <c r="R65" i="1"/>
  <c r="GK65" i="1" s="1"/>
  <c r="P66" i="1"/>
  <c r="CP66" i="1" s="1"/>
  <c r="O66" i="1" s="1"/>
  <c r="Q66" i="1"/>
  <c r="R66" i="1"/>
  <c r="GK66" i="1" s="1"/>
  <c r="U66" i="1"/>
  <c r="V66" i="1"/>
  <c r="W66" i="1"/>
  <c r="P79" i="1"/>
  <c r="V49" i="1"/>
  <c r="DI21" i="3"/>
  <c r="DF21" i="3"/>
  <c r="DG21" i="3"/>
  <c r="DJ21" i="3" s="1"/>
  <c r="DH21" i="3"/>
  <c r="R63" i="1"/>
  <c r="GK63" i="1" s="1"/>
  <c r="CP53" i="1"/>
  <c r="O53" i="1" s="1"/>
  <c r="GM53" i="1" s="1"/>
  <c r="GP53" i="1" s="1"/>
  <c r="W80" i="1"/>
  <c r="CP69" i="1"/>
  <c r="O69" i="1" s="1"/>
  <c r="Q50" i="1"/>
  <c r="GX78" i="1"/>
  <c r="GM194" i="1"/>
  <c r="GN194" i="1" s="1"/>
  <c r="DG55" i="3"/>
  <c r="DH55" i="3"/>
  <c r="DI55" i="3"/>
  <c r="DF55" i="3"/>
  <c r="DJ55" i="3" s="1"/>
  <c r="P46" i="1"/>
  <c r="GM45" i="1"/>
  <c r="GP45" i="1" s="1"/>
  <c r="U78" i="1"/>
  <c r="W79" i="1"/>
  <c r="CY55" i="1"/>
  <c r="X55" i="1" s="1"/>
  <c r="CZ55" i="1"/>
  <c r="Y55" i="1" s="1"/>
  <c r="GK29" i="1"/>
  <c r="Q63" i="1"/>
  <c r="CP63" i="1" s="1"/>
  <c r="O63" i="1" s="1"/>
  <c r="GM63" i="1" s="1"/>
  <c r="GP63" i="1" s="1"/>
  <c r="AP26" i="1"/>
  <c r="F95" i="1"/>
  <c r="AP116" i="1"/>
  <c r="CP73" i="1"/>
  <c r="O73" i="1" s="1"/>
  <c r="GM73" i="1" s="1"/>
  <c r="GP73" i="1" s="1"/>
  <c r="CZ60" i="1"/>
  <c r="Y60" i="1" s="1"/>
  <c r="CY60" i="1"/>
  <c r="X60" i="1" s="1"/>
  <c r="DH72" i="3"/>
  <c r="DI72" i="3"/>
  <c r="DF72" i="3"/>
  <c r="DJ72" i="3" s="1"/>
  <c r="DG72" i="3"/>
  <c r="V61" i="1"/>
  <c r="S202" i="1"/>
  <c r="AF191" i="1"/>
  <c r="AD202" i="1"/>
  <c r="T66" i="1"/>
  <c r="CP64" i="1"/>
  <c r="O64" i="1" s="1"/>
  <c r="F111" i="1"/>
  <c r="BD116" i="1"/>
  <c r="BD26" i="1"/>
  <c r="GM51" i="1"/>
  <c r="GP51" i="1" s="1"/>
  <c r="S61" i="1"/>
  <c r="T61" i="1"/>
  <c r="BA155" i="1"/>
  <c r="F179" i="1"/>
  <c r="BA232" i="1"/>
  <c r="DH54" i="3"/>
  <c r="DI54" i="3"/>
  <c r="DG54" i="3"/>
  <c r="DF54" i="3"/>
  <c r="DJ54" i="3" s="1"/>
  <c r="T232" i="1"/>
  <c r="F180" i="1"/>
  <c r="T155" i="1"/>
  <c r="CY64" i="1"/>
  <c r="X64" i="1" s="1"/>
  <c r="CZ64" i="1"/>
  <c r="Y64" i="1" s="1"/>
  <c r="AZ159" i="1"/>
  <c r="CI155" i="1"/>
  <c r="S66" i="1"/>
  <c r="GK195" i="1"/>
  <c r="AE202" i="1"/>
  <c r="V65" i="1"/>
  <c r="DI74" i="3"/>
  <c r="DH74" i="3"/>
  <c r="DF74" i="3"/>
  <c r="DJ74" i="3" s="1"/>
  <c r="DG74" i="3"/>
  <c r="S40" i="1"/>
  <c r="AP232" i="1"/>
  <c r="AY159" i="1"/>
  <c r="CH155" i="1"/>
  <c r="DG67" i="3"/>
  <c r="DH67" i="3"/>
  <c r="DF67" i="3"/>
  <c r="DJ67" i="3" s="1"/>
  <c r="DI67" i="3"/>
  <c r="DG27" i="3"/>
  <c r="DH27" i="3"/>
  <c r="DI27" i="3"/>
  <c r="DF27" i="3"/>
  <c r="DJ27" i="3" s="1"/>
  <c r="DF36" i="3"/>
  <c r="DJ36" i="3" s="1"/>
  <c r="DG36" i="3"/>
  <c r="DH36" i="3"/>
  <c r="DI36" i="3"/>
  <c r="P44" i="1"/>
  <c r="T63" i="1"/>
  <c r="U75" i="1"/>
  <c r="V75" i="1"/>
  <c r="T44" i="1"/>
  <c r="GM74" i="1"/>
  <c r="GP74" i="1" s="1"/>
  <c r="CP37" i="1"/>
  <c r="O37" i="1" s="1"/>
  <c r="GM37" i="1" s="1"/>
  <c r="GP37" i="1" s="1"/>
  <c r="CG155" i="1"/>
  <c r="AX159" i="1"/>
  <c r="BC116" i="1"/>
  <c r="BC26" i="1"/>
  <c r="F102" i="1"/>
  <c r="DF34" i="3"/>
  <c r="DJ34" i="3" s="1"/>
  <c r="DG34" i="3"/>
  <c r="DI34" i="3"/>
  <c r="DH34" i="3"/>
  <c r="F162" i="1"/>
  <c r="P155" i="1"/>
  <c r="S75" i="1"/>
  <c r="DG73" i="3"/>
  <c r="DH73" i="3"/>
  <c r="DI73" i="3"/>
  <c r="DF73" i="3"/>
  <c r="DJ73" i="3" s="1"/>
  <c r="CP29" i="1"/>
  <c r="O29" i="1" s="1"/>
  <c r="DH20" i="3"/>
  <c r="DI20" i="3"/>
  <c r="DJ20" i="3" s="1"/>
  <c r="DF20" i="3"/>
  <c r="DG20" i="3"/>
  <c r="DH38" i="3"/>
  <c r="DI38" i="3"/>
  <c r="DF38" i="3"/>
  <c r="DJ38" i="3" s="1"/>
  <c r="DG38" i="3"/>
  <c r="AU202" i="1"/>
  <c r="CD191" i="1"/>
  <c r="F171" i="1"/>
  <c r="Q155" i="1"/>
  <c r="DH68" i="3"/>
  <c r="DI68" i="3"/>
  <c r="DJ68" i="3" s="1"/>
  <c r="DF68" i="3"/>
  <c r="DG68" i="3"/>
  <c r="R46" i="1"/>
  <c r="GK46" i="1" s="1"/>
  <c r="AL155" i="1"/>
  <c r="Y159" i="1"/>
  <c r="W202" i="1"/>
  <c r="AJ191" i="1"/>
  <c r="V155" i="1"/>
  <c r="F182" i="1"/>
  <c r="Q49" i="1"/>
  <c r="DF13" i="3"/>
  <c r="DJ13" i="3" s="1"/>
  <c r="DH13" i="3"/>
  <c r="DI13" i="3"/>
  <c r="DG13" i="3"/>
  <c r="AK155" i="1"/>
  <c r="X159" i="1"/>
  <c r="CP50" i="1"/>
  <c r="O50" i="1" s="1"/>
  <c r="GM50" i="1" s="1"/>
  <c r="GP50" i="1" s="1"/>
  <c r="CP61" i="1"/>
  <c r="O61" i="1" s="1"/>
  <c r="R49" i="1"/>
  <c r="GK49" i="1" s="1"/>
  <c r="AT202" i="1"/>
  <c r="CC191" i="1"/>
  <c r="CY73" i="1"/>
  <c r="X73" i="1" s="1"/>
  <c r="CZ73" i="1"/>
  <c r="Y73" i="1" s="1"/>
  <c r="DH46" i="3"/>
  <c r="DI46" i="3"/>
  <c r="DF46" i="3"/>
  <c r="DG46" i="3"/>
  <c r="DJ46" i="3" s="1"/>
  <c r="GM55" i="1"/>
  <c r="GP55" i="1" s="1"/>
  <c r="CY50" i="1"/>
  <c r="X50" i="1" s="1"/>
  <c r="CZ50" i="1"/>
  <c r="Y50" i="1" s="1"/>
  <c r="CB26" i="1"/>
  <c r="AS86" i="1"/>
  <c r="GX49" i="1"/>
  <c r="T79" i="1"/>
  <c r="U79" i="1"/>
  <c r="GX79" i="1"/>
  <c r="GM60" i="1"/>
  <c r="GP60" i="1" s="1"/>
  <c r="U46" i="1"/>
  <c r="V46" i="1"/>
  <c r="W46" i="1"/>
  <c r="AI86" i="1"/>
  <c r="R76" i="1"/>
  <c r="GK76" i="1" s="1"/>
  <c r="S76" i="1"/>
  <c r="P76" i="1"/>
  <c r="Q76" i="1"/>
  <c r="Q79" i="1"/>
  <c r="GM42" i="1"/>
  <c r="GP42" i="1" s="1"/>
  <c r="CP195" i="1"/>
  <c r="O195" i="1" s="1"/>
  <c r="AC202" i="1"/>
  <c r="DG57" i="3"/>
  <c r="DH57" i="3"/>
  <c r="DI57" i="3"/>
  <c r="DF57" i="3"/>
  <c r="DJ57" i="3" s="1"/>
  <c r="AB159" i="1"/>
  <c r="GM157" i="1"/>
  <c r="BB26" i="1"/>
  <c r="BB116" i="1"/>
  <c r="F99" i="1"/>
  <c r="GX80" i="1"/>
  <c r="T80" i="1"/>
  <c r="DI33" i="3"/>
  <c r="DJ33" i="3" s="1"/>
  <c r="DH33" i="3"/>
  <c r="DG33" i="3"/>
  <c r="DF33" i="3"/>
  <c r="CY63" i="1"/>
  <c r="X63" i="1" s="1"/>
  <c r="CZ63" i="1"/>
  <c r="Y63" i="1" s="1"/>
  <c r="DF37" i="3"/>
  <c r="DJ37" i="3" s="1"/>
  <c r="DG37" i="3"/>
  <c r="DH37" i="3"/>
  <c r="DI37" i="3"/>
  <c r="CY44" i="1"/>
  <c r="X44" i="1" s="1"/>
  <c r="CZ44" i="1"/>
  <c r="Y44" i="1" s="1"/>
  <c r="CY32" i="1"/>
  <c r="X32" i="1" s="1"/>
  <c r="CZ32" i="1"/>
  <c r="Y32" i="1" s="1"/>
  <c r="P40" i="1"/>
  <c r="DH56" i="3"/>
  <c r="DI56" i="3"/>
  <c r="DF56" i="3"/>
  <c r="DJ56" i="3" s="1"/>
  <c r="DG56" i="3"/>
  <c r="DG59" i="3"/>
  <c r="DH59" i="3"/>
  <c r="DF59" i="3"/>
  <c r="DI59" i="3"/>
  <c r="DJ59" i="3" s="1"/>
  <c r="DF1" i="3"/>
  <c r="DG1" i="3"/>
  <c r="DH1" i="3"/>
  <c r="DI1" i="3"/>
  <c r="DJ1" i="3" s="1"/>
  <c r="V78" i="1"/>
  <c r="S78" i="1"/>
  <c r="CY77" i="1"/>
  <c r="X77" i="1" s="1"/>
  <c r="CZ77" i="1"/>
  <c r="Y77" i="1" s="1"/>
  <c r="W65" i="1"/>
  <c r="GX65" i="1"/>
  <c r="P78" i="1"/>
  <c r="CP78" i="1" s="1"/>
  <c r="O78" i="1" s="1"/>
  <c r="F169" i="1"/>
  <c r="AQ232" i="1"/>
  <c r="AQ155" i="1"/>
  <c r="Q40" i="1"/>
  <c r="AD86" i="1" s="1"/>
  <c r="GM28" i="1"/>
  <c r="R40" i="1"/>
  <c r="GK40" i="1" s="1"/>
  <c r="DI80" i="3"/>
  <c r="DJ80" i="3" s="1"/>
  <c r="DG80" i="3"/>
  <c r="DH80" i="3"/>
  <c r="DF80" i="3"/>
  <c r="AZ86" i="1"/>
  <c r="CI26" i="1"/>
  <c r="Q78" i="1"/>
  <c r="AX86" i="1"/>
  <c r="CG26" i="1"/>
  <c r="GX77" i="1"/>
  <c r="AQ116" i="1"/>
  <c r="AQ26" i="1"/>
  <c r="F96" i="1"/>
  <c r="U65" i="1"/>
  <c r="W232" i="1"/>
  <c r="F183" i="1"/>
  <c r="W155" i="1"/>
  <c r="GM54" i="1"/>
  <c r="GP54" i="1" s="1"/>
  <c r="P124" i="7" l="1"/>
  <c r="I254" i="7" s="1"/>
  <c r="K124" i="7"/>
  <c r="I210" i="7"/>
  <c r="I213" i="7"/>
  <c r="AJ26" i="1"/>
  <c r="W86" i="1"/>
  <c r="AG26" i="1"/>
  <c r="T86" i="1"/>
  <c r="Q86" i="1"/>
  <c r="AD26" i="1"/>
  <c r="AH26" i="1"/>
  <c r="U86" i="1"/>
  <c r="BA86" i="1"/>
  <c r="CJ26" i="1"/>
  <c r="F170" i="1"/>
  <c r="AZ155" i="1"/>
  <c r="AZ232" i="1"/>
  <c r="GM66" i="1"/>
  <c r="GP66" i="1" s="1"/>
  <c r="F247" i="1"/>
  <c r="S151" i="1"/>
  <c r="AX191" i="1"/>
  <c r="F209" i="1"/>
  <c r="F220" i="1"/>
  <c r="AT191" i="1"/>
  <c r="AT232" i="1"/>
  <c r="AI26" i="1"/>
  <c r="V86" i="1"/>
  <c r="V191" i="1"/>
  <c r="F225" i="1"/>
  <c r="AC86" i="1"/>
  <c r="AZ191" i="1"/>
  <c r="F213" i="1"/>
  <c r="GP28" i="1"/>
  <c r="BB264" i="1"/>
  <c r="F129" i="1"/>
  <c r="BB22" i="1"/>
  <c r="GM69" i="1"/>
  <c r="GP69" i="1" s="1"/>
  <c r="X191" i="1"/>
  <c r="F228" i="1"/>
  <c r="W151" i="1"/>
  <c r="F256" i="1"/>
  <c r="AQ151" i="1"/>
  <c r="F242" i="1"/>
  <c r="CP40" i="1"/>
  <c r="O40" i="1" s="1"/>
  <c r="AB155" i="1"/>
  <c r="O159" i="1"/>
  <c r="AX155" i="1"/>
  <c r="F166" i="1"/>
  <c r="AX232" i="1"/>
  <c r="AY155" i="1"/>
  <c r="F167" i="1"/>
  <c r="AP22" i="1"/>
  <c r="F125" i="1"/>
  <c r="G16" i="2" s="1"/>
  <c r="AP264" i="1"/>
  <c r="AS26" i="1"/>
  <c r="F103" i="1"/>
  <c r="AS116" i="1"/>
  <c r="CY62" i="1"/>
  <c r="X62" i="1" s="1"/>
  <c r="CZ62" i="1"/>
  <c r="Y62" i="1" s="1"/>
  <c r="GM78" i="1"/>
  <c r="GP78" i="1" s="1"/>
  <c r="V232" i="1"/>
  <c r="CY40" i="1"/>
  <c r="X40" i="1" s="1"/>
  <c r="AK86" i="1" s="1"/>
  <c r="CZ40" i="1"/>
  <c r="Y40" i="1" s="1"/>
  <c r="AL86" i="1" s="1"/>
  <c r="Y191" i="1"/>
  <c r="F229" i="1"/>
  <c r="CP62" i="1"/>
  <c r="O62" i="1" s="1"/>
  <c r="AE86" i="1"/>
  <c r="F224" i="1"/>
  <c r="U191" i="1"/>
  <c r="GM29" i="1"/>
  <c r="GP29" i="1" s="1"/>
  <c r="CZ49" i="1"/>
  <c r="Y49" i="1" s="1"/>
  <c r="CY49" i="1"/>
  <c r="X49" i="1" s="1"/>
  <c r="AF86" i="1"/>
  <c r="AX26" i="1"/>
  <c r="F93" i="1"/>
  <c r="AX116" i="1"/>
  <c r="CY78" i="1"/>
  <c r="X78" i="1" s="1"/>
  <c r="CZ78" i="1"/>
  <c r="Y78" i="1" s="1"/>
  <c r="F141" i="1"/>
  <c r="BD22" i="1"/>
  <c r="BD264" i="1"/>
  <c r="AO151" i="1"/>
  <c r="AO264" i="1"/>
  <c r="F236" i="1"/>
  <c r="GM77" i="1"/>
  <c r="GP77" i="1" s="1"/>
  <c r="R202" i="1"/>
  <c r="AE191" i="1"/>
  <c r="GM32" i="1"/>
  <c r="GP32" i="1" s="1"/>
  <c r="GM64" i="1"/>
  <c r="GP64" i="1" s="1"/>
  <c r="U232" i="1"/>
  <c r="CY66" i="1"/>
  <c r="X66" i="1" s="1"/>
  <c r="CZ66" i="1"/>
  <c r="Y66" i="1" s="1"/>
  <c r="CY76" i="1"/>
  <c r="X76" i="1" s="1"/>
  <c r="CZ76" i="1"/>
  <c r="Y76" i="1" s="1"/>
  <c r="F217" i="1"/>
  <c r="S191" i="1"/>
  <c r="GM49" i="1"/>
  <c r="GP49" i="1" s="1"/>
  <c r="CZ46" i="1"/>
  <c r="Y46" i="1" s="1"/>
  <c r="CY46" i="1"/>
  <c r="X46" i="1" s="1"/>
  <c r="X232" i="1"/>
  <c r="F185" i="1"/>
  <c r="X155" i="1"/>
  <c r="T151" i="1"/>
  <c r="F253" i="1"/>
  <c r="AU191" i="1"/>
  <c r="F221" i="1"/>
  <c r="CY80" i="1"/>
  <c r="X80" i="1" s="1"/>
  <c r="CZ80" i="1"/>
  <c r="Y80" i="1" s="1"/>
  <c r="CA159" i="1"/>
  <c r="GN157" i="1"/>
  <c r="CB159" i="1" s="1"/>
  <c r="BC22" i="1"/>
  <c r="F132" i="1"/>
  <c r="BC264" i="1"/>
  <c r="CY79" i="1"/>
  <c r="X79" i="1" s="1"/>
  <c r="CZ79" i="1"/>
  <c r="Y79" i="1" s="1"/>
  <c r="BA151" i="1"/>
  <c r="F252" i="1"/>
  <c r="F241" i="1"/>
  <c r="G17" i="2" s="1"/>
  <c r="AP151" i="1"/>
  <c r="AU232" i="1"/>
  <c r="F126" i="1"/>
  <c r="AQ22" i="1"/>
  <c r="AQ264" i="1"/>
  <c r="CZ61" i="1"/>
  <c r="Y61" i="1" s="1"/>
  <c r="CY61" i="1"/>
  <c r="X61" i="1" s="1"/>
  <c r="GM61" i="1" s="1"/>
  <c r="GP61" i="1" s="1"/>
  <c r="CA202" i="1"/>
  <c r="AC191" i="1"/>
  <c r="CF202" i="1"/>
  <c r="CE202" i="1"/>
  <c r="P202" i="1"/>
  <c r="CH202" i="1"/>
  <c r="CP80" i="1"/>
  <c r="O80" i="1" s="1"/>
  <c r="GM195" i="1"/>
  <c r="GN195" i="1" s="1"/>
  <c r="CB202" i="1" s="1"/>
  <c r="AB202" i="1"/>
  <c r="W191" i="1"/>
  <c r="F226" i="1"/>
  <c r="CP79" i="1"/>
  <c r="O79" i="1" s="1"/>
  <c r="GM79" i="1" s="1"/>
  <c r="GP79" i="1" s="1"/>
  <c r="Y232" i="1"/>
  <c r="Y155" i="1"/>
  <c r="F186" i="1"/>
  <c r="CP44" i="1"/>
  <c r="O44" i="1" s="1"/>
  <c r="GM44" i="1" s="1"/>
  <c r="GP44" i="1" s="1"/>
  <c r="AT22" i="1"/>
  <c r="F134" i="1"/>
  <c r="F16" i="2" s="1"/>
  <c r="AT264" i="1"/>
  <c r="AZ26" i="1"/>
  <c r="AZ116" i="1"/>
  <c r="F97" i="1"/>
  <c r="CP76" i="1"/>
  <c r="O76" i="1" s="1"/>
  <c r="GM76" i="1" s="1"/>
  <c r="GP76" i="1" s="1"/>
  <c r="CZ75" i="1"/>
  <c r="Y75" i="1" s="1"/>
  <c r="CY75" i="1"/>
  <c r="X75" i="1" s="1"/>
  <c r="GM75" i="1" s="1"/>
  <c r="GP75" i="1" s="1"/>
  <c r="AD191" i="1"/>
  <c r="Q202" i="1"/>
  <c r="CP46" i="1"/>
  <c r="O46" i="1" s="1"/>
  <c r="Y86" i="1" l="1"/>
  <c r="AL26" i="1"/>
  <c r="X86" i="1"/>
  <c r="AK26" i="1"/>
  <c r="CB191" i="1"/>
  <c r="AS202" i="1"/>
  <c r="AV202" i="1"/>
  <c r="CE191" i="1"/>
  <c r="F216" i="1"/>
  <c r="R191" i="1"/>
  <c r="R232" i="1"/>
  <c r="GM40" i="1"/>
  <c r="AB86" i="1"/>
  <c r="F268" i="1"/>
  <c r="AO18" i="1"/>
  <c r="V151" i="1"/>
  <c r="F255" i="1"/>
  <c r="AQ18" i="1"/>
  <c r="F274" i="1"/>
  <c r="F282" i="1"/>
  <c r="AT18" i="1"/>
  <c r="X151" i="1"/>
  <c r="F258" i="1"/>
  <c r="AZ151" i="1"/>
  <c r="F243" i="1"/>
  <c r="AS22" i="1"/>
  <c r="F133" i="1"/>
  <c r="E16" i="2" s="1"/>
  <c r="AU151" i="1"/>
  <c r="F251" i="1"/>
  <c r="H17" i="2" s="1"/>
  <c r="AX22" i="1"/>
  <c r="AX264" i="1"/>
  <c r="F123" i="1"/>
  <c r="BB18" i="1"/>
  <c r="F277" i="1"/>
  <c r="F273" i="1"/>
  <c r="AP18" i="1"/>
  <c r="BA26" i="1"/>
  <c r="BA116" i="1"/>
  <c r="F106" i="1"/>
  <c r="AF26" i="1"/>
  <c r="S86" i="1"/>
  <c r="BC18" i="1"/>
  <c r="F280" i="1"/>
  <c r="Q26" i="1"/>
  <c r="F98" i="1"/>
  <c r="Q116" i="1"/>
  <c r="AB191" i="1"/>
  <c r="O202" i="1"/>
  <c r="F239" i="1"/>
  <c r="AX151" i="1"/>
  <c r="AS159" i="1"/>
  <c r="CB155" i="1"/>
  <c r="W26" i="1"/>
  <c r="W116" i="1"/>
  <c r="F110" i="1"/>
  <c r="GM46" i="1"/>
  <c r="GP46" i="1" s="1"/>
  <c r="AY202" i="1"/>
  <c r="CH191" i="1"/>
  <c r="AR159" i="1"/>
  <c r="CA155" i="1"/>
  <c r="AE26" i="1"/>
  <c r="R86" i="1"/>
  <c r="F161" i="1"/>
  <c r="O155" i="1"/>
  <c r="AW202" i="1"/>
  <c r="CF191" i="1"/>
  <c r="CA191" i="1"/>
  <c r="AR202" i="1"/>
  <c r="AZ22" i="1"/>
  <c r="AZ264" i="1"/>
  <c r="F127" i="1"/>
  <c r="BD18" i="1"/>
  <c r="F289" i="1"/>
  <c r="U116" i="1"/>
  <c r="U26" i="1"/>
  <c r="F108" i="1"/>
  <c r="F259" i="1"/>
  <c r="Y151" i="1"/>
  <c r="AC26" i="1"/>
  <c r="CH86" i="1"/>
  <c r="P86" i="1"/>
  <c r="CE86" i="1"/>
  <c r="CF86" i="1"/>
  <c r="T116" i="1"/>
  <c r="T26" i="1"/>
  <c r="F107" i="1"/>
  <c r="U151" i="1"/>
  <c r="F254" i="1"/>
  <c r="GM80" i="1"/>
  <c r="GP80" i="1" s="1"/>
  <c r="V26" i="1"/>
  <c r="V116" i="1"/>
  <c r="F109" i="1"/>
  <c r="Q191" i="1"/>
  <c r="F214" i="1"/>
  <c r="Q232" i="1"/>
  <c r="P191" i="1"/>
  <c r="F205" i="1"/>
  <c r="P232" i="1"/>
  <c r="GM62" i="1"/>
  <c r="GP62" i="1" s="1"/>
  <c r="AT151" i="1"/>
  <c r="F250" i="1"/>
  <c r="F17" i="2" s="1"/>
  <c r="T22" i="1" l="1"/>
  <c r="F137" i="1"/>
  <c r="T264" i="1"/>
  <c r="S26" i="1"/>
  <c r="S116" i="1"/>
  <c r="F101" i="1"/>
  <c r="AW86" i="1"/>
  <c r="CF26" i="1"/>
  <c r="R26" i="1"/>
  <c r="F100" i="1"/>
  <c r="R116" i="1"/>
  <c r="AV86" i="1"/>
  <c r="CE26" i="1"/>
  <c r="P26" i="1"/>
  <c r="F89" i="1"/>
  <c r="P116" i="1"/>
  <c r="AY86" i="1"/>
  <c r="CH26" i="1"/>
  <c r="BA264" i="1"/>
  <c r="BA22" i="1"/>
  <c r="F136" i="1"/>
  <c r="AY191" i="1"/>
  <c r="F210" i="1"/>
  <c r="AY232" i="1"/>
  <c r="F235" i="1"/>
  <c r="P151" i="1"/>
  <c r="O86" i="1"/>
  <c r="AB26" i="1"/>
  <c r="F138" i="1"/>
  <c r="U22" i="1"/>
  <c r="U264" i="1"/>
  <c r="GP40" i="1"/>
  <c r="CD86" i="1" s="1"/>
  <c r="CA86" i="1"/>
  <c r="AX18" i="1"/>
  <c r="F271" i="1"/>
  <c r="AS155" i="1"/>
  <c r="F176" i="1"/>
  <c r="AS232" i="1"/>
  <c r="AZ18" i="1"/>
  <c r="F275" i="1"/>
  <c r="V22" i="1"/>
  <c r="F139" i="1"/>
  <c r="V264" i="1"/>
  <c r="O191" i="1"/>
  <c r="F204" i="1"/>
  <c r="F207" i="1"/>
  <c r="AV191" i="1"/>
  <c r="AV232" i="1"/>
  <c r="AR191" i="1"/>
  <c r="F230" i="1"/>
  <c r="F219" i="1"/>
  <c r="AS191" i="1"/>
  <c r="AW191" i="1"/>
  <c r="F208" i="1"/>
  <c r="AW232" i="1"/>
  <c r="AR232" i="1"/>
  <c r="AR155" i="1"/>
  <c r="F187" i="1"/>
  <c r="F140" i="1"/>
  <c r="W22" i="1"/>
  <c r="W264" i="1"/>
  <c r="Q151" i="1"/>
  <c r="F244" i="1"/>
  <c r="R151" i="1"/>
  <c r="F246" i="1"/>
  <c r="J17" i="2" s="1"/>
  <c r="Q22" i="1"/>
  <c r="Q264" i="1"/>
  <c r="F128" i="1"/>
  <c r="X26" i="1"/>
  <c r="X116" i="1"/>
  <c r="F112" i="1"/>
  <c r="O232" i="1"/>
  <c r="Y116" i="1"/>
  <c r="Y26" i="1"/>
  <c r="F113" i="1"/>
  <c r="F287" i="1" l="1"/>
  <c r="V18" i="1"/>
  <c r="F284" i="1"/>
  <c r="BA18" i="1"/>
  <c r="F288" i="1"/>
  <c r="W18" i="1"/>
  <c r="AY26" i="1"/>
  <c r="F94" i="1"/>
  <c r="AY116" i="1"/>
  <c r="AS151" i="1"/>
  <c r="F249" i="1"/>
  <c r="E17" i="2" s="1"/>
  <c r="I17" i="2" s="1"/>
  <c r="N17" i="2" s="1"/>
  <c r="AS264" i="1"/>
  <c r="P22" i="1"/>
  <c r="P264" i="1"/>
  <c r="F119" i="1"/>
  <c r="AR151" i="1"/>
  <c r="F260" i="1"/>
  <c r="AV26" i="1"/>
  <c r="F91" i="1"/>
  <c r="AV116" i="1"/>
  <c r="AW151" i="1"/>
  <c r="F238" i="1"/>
  <c r="CA26" i="1"/>
  <c r="AR86" i="1"/>
  <c r="R22" i="1"/>
  <c r="R264" i="1"/>
  <c r="F130" i="1"/>
  <c r="AU86" i="1"/>
  <c r="CD26" i="1"/>
  <c r="F286" i="1"/>
  <c r="U18" i="1"/>
  <c r="Y22" i="1"/>
  <c r="Y264" i="1"/>
  <c r="F143" i="1"/>
  <c r="F234" i="1"/>
  <c r="O151" i="1"/>
  <c r="AW26" i="1"/>
  <c r="F92" i="1"/>
  <c r="AW116" i="1"/>
  <c r="X22" i="1"/>
  <c r="F142" i="1"/>
  <c r="X264" i="1"/>
  <c r="O116" i="1"/>
  <c r="O26" i="1"/>
  <c r="F88" i="1"/>
  <c r="S22" i="1"/>
  <c r="S264" i="1"/>
  <c r="F131" i="1"/>
  <c r="AV151" i="1"/>
  <c r="F237" i="1"/>
  <c r="F285" i="1"/>
  <c r="T18" i="1"/>
  <c r="F276" i="1"/>
  <c r="Q18" i="1"/>
  <c r="F240" i="1"/>
  <c r="AY151" i="1"/>
  <c r="O22" i="1" l="1"/>
  <c r="O264" i="1"/>
  <c r="F118" i="1"/>
  <c r="AV22" i="1"/>
  <c r="F121" i="1"/>
  <c r="AV264" i="1"/>
  <c r="F261" i="1"/>
  <c r="F262" i="1"/>
  <c r="P18" i="1"/>
  <c r="F267" i="1"/>
  <c r="F281" i="1"/>
  <c r="AS18" i="1"/>
  <c r="Y18" i="1"/>
  <c r="F291" i="1"/>
  <c r="AY264" i="1"/>
  <c r="F124" i="1"/>
  <c r="AY22" i="1"/>
  <c r="F105" i="1"/>
  <c r="AU26" i="1"/>
  <c r="AU116" i="1"/>
  <c r="J16" i="2"/>
  <c r="F278" i="1"/>
  <c r="R18" i="1"/>
  <c r="F279" i="1"/>
  <c r="S18" i="1"/>
  <c r="AR116" i="1"/>
  <c r="AR26" i="1"/>
  <c r="F114" i="1"/>
  <c r="X18" i="1"/>
  <c r="F290" i="1"/>
  <c r="F122" i="1"/>
  <c r="AW264" i="1"/>
  <c r="AW22" i="1"/>
  <c r="AY18" i="1" l="1"/>
  <c r="F272" i="1"/>
  <c r="AW18" i="1"/>
  <c r="F270" i="1"/>
  <c r="AV18" i="1"/>
  <c r="F269" i="1"/>
  <c r="AR264" i="1"/>
  <c r="AR22" i="1"/>
  <c r="F144" i="1"/>
  <c r="F145" i="1" s="1"/>
  <c r="O18" i="1"/>
  <c r="F266" i="1"/>
  <c r="AU22" i="1"/>
  <c r="F135" i="1"/>
  <c r="H16" i="2" s="1"/>
  <c r="I16" i="2" s="1"/>
  <c r="N16" i="2" s="1"/>
  <c r="AU264" i="1"/>
  <c r="F283" i="1" l="1"/>
  <c r="AU18" i="1"/>
  <c r="F146" i="1"/>
  <c r="F147" i="1"/>
  <c r="AR18" i="1"/>
  <c r="F292" i="1"/>
  <c r="F293" i="1" s="1"/>
  <c r="F294" i="1" l="1"/>
  <c r="F295" i="1" s="1"/>
</calcChain>
</file>

<file path=xl/sharedStrings.xml><?xml version="1.0" encoding="utf-8"?>
<sst xmlns="http://schemas.openxmlformats.org/spreadsheetml/2006/main" count="5548" uniqueCount="460">
  <si>
    <t>Smeta.RU Flash  (495) 974-1589</t>
  </si>
  <si>
    <t>_PS_</t>
  </si>
  <si>
    <t>Smeta.RU Flash</t>
  </si>
  <si>
    <t/>
  </si>
  <si>
    <t>Новый объект</t>
  </si>
  <si>
    <t>Монтаж декоративных тэхлементов тюбинговой горки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</si>
  <si>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</si>
  <si>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</si>
  <si>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</si>
  <si>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</si>
  <si>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</si>
  <si>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</si>
  <si>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</si>
  <si>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Новый раздел</t>
  </si>
  <si>
    <t>Электромонтажные работы</t>
  </si>
  <si>
    <t>1</t>
  </si>
  <si>
    <t>1.21-3703-2-3/1</t>
  </si>
  <si>
    <t>Установка блока управления шкафного исполнения или распределительного пункта (шкафа) высотой и шириной до 600х600 мм на стену (без стоимости материалов)</t>
  </si>
  <si>
    <t>шт.</t>
  </si>
  <si>
    <t>СН-2012.1 Выпуск № 5 (в текущих ценах по состоянию на 01.10.2025 г.). 1.21-3703-2-3/1</t>
  </si>
  <si>
    <t>СН-2012</t>
  </si>
  <si>
    <t>Подрядные работы, гл. 1-5,7</t>
  </si>
  <si>
    <t>работа</t>
  </si>
  <si>
    <t>1,1</t>
  </si>
  <si>
    <t>Цена поставщика</t>
  </si>
  <si>
    <t>Короб силовой CEE 32A 16A</t>
  </si>
  <si>
    <t>[53 976,1 / 1,2]</t>
  </si>
  <si>
    <t>0</t>
  </si>
  <si>
    <t>2</t>
  </si>
  <si>
    <t>1.23-3303-5-1/1</t>
  </si>
  <si>
    <t>Установка съемных и выдвижных блоков (модулей, ячеек, ТЭЗ) - масса до 0,005 т</t>
  </si>
  <si>
    <t>СН-2012.1 Выпуск № 5 (в текущих ценах по состоянию на 01.10.2025 г.). 1.23-3303-5-1/1</t>
  </si>
  <si>
    <t>2,1</t>
  </si>
  <si>
    <t>Удлинитель CEE 32A 25 м</t>
  </si>
  <si>
    <t>[44 519,99 / 1,2]</t>
  </si>
  <si>
    <t>2,2</t>
  </si>
  <si>
    <t>Удлинитель Schuko-Schuko 10 м</t>
  </si>
  <si>
    <t>[7 380,72 / 1,2]</t>
  </si>
  <si>
    <t>2,3</t>
  </si>
  <si>
    <t>Удлинитель Schuko-Schuko 20 м</t>
  </si>
  <si>
    <t>[12 607,2 / 1,2]</t>
  </si>
  <si>
    <t>2,4</t>
  </si>
  <si>
    <t>Удлинитель Schuko-Schuko 30 м</t>
  </si>
  <si>
    <t>[18 479,95 / 1,2]</t>
  </si>
  <si>
    <t>2,5</t>
  </si>
  <si>
    <t>Удлинитель Male Schuko - 3 Schuko (тройник\разветвитель)</t>
  </si>
  <si>
    <t>[8 700,05 / 1,2]</t>
  </si>
  <si>
    <t>3</t>
  </si>
  <si>
    <t>1.21-3103-7-2/1</t>
  </si>
  <si>
    <t>Прокладка проводов и кабелей в лотках, провод сечением до 35 мм2</t>
  </si>
  <si>
    <t>100 м</t>
  </si>
  <si>
    <t>СН-2012.1 Выпуск № 5 (в текущих ценах по состоянию на 01.10.2025 г.). 1.21-3103-7-2/1</t>
  </si>
  <si>
    <t>3,1</t>
  </si>
  <si>
    <t>21.23-13-15</t>
  </si>
  <si>
    <t>Провода силовые с медными жилами в поливинилхлоридной изоляции, марка ПуГВ, номинальное напряжение до 450 В, число жил и сечение 1х10 мм2</t>
  </si>
  <si>
    <t>км</t>
  </si>
  <si>
    <t>СН-2012.21 Выпуск № 5 (в текущих ценах по состоянию на 01.10.2025 г.). 21.23-13-15</t>
  </si>
  <si>
    <t>3,2</t>
  </si>
  <si>
    <t>Кабель соединительный 2х0.75</t>
  </si>
  <si>
    <t>м.п.</t>
  </si>
  <si>
    <t>[70,44 / 1,2]</t>
  </si>
  <si>
    <t>4</t>
  </si>
  <si>
    <t>1.21-3103-33-2/1</t>
  </si>
  <si>
    <t>Прокладка труб гофрированных поливинилхлоридных наружным диаметром 20 мм открыто по стенам и потолкам с установкой соединительных коробок</t>
  </si>
  <si>
    <t>СН-2012.1 Выпуск № 5 (в текущих ценах по состоянию на 01.10.2025 г.). 1.21-3103-33-2/1</t>
  </si>
  <si>
    <t>4,1</t>
  </si>
  <si>
    <t>21.21-5-86</t>
  </si>
  <si>
    <t>Коробки клеммные для присоединения проводов к бытовым электроплитам, напряжение 380 В, сила тока 40 А, степень защиты IP44, с монтажными пластинами и распорными лапками, тип КлК-5С</t>
  </si>
  <si>
    <t>СН-2012.21 Выпуск № 5 (в текущих ценах по состоянию на 01.10.2025 г.). 21.21-5-86</t>
  </si>
  <si>
    <t>4,2</t>
  </si>
  <si>
    <t>21.21-5-61</t>
  </si>
  <si>
    <t>Коробки для выполнения соединений и ответвлений электрических кабелей и проводов сечением до 4 мм2, прокладываемых в неметаллических трубах, тип КОР-73 УЗ</t>
  </si>
  <si>
    <t>СН-2012.21 Выпуск № 5 (в текущих ценах по состоянию на 01.10.2025 г.). 21.21-5-61</t>
  </si>
  <si>
    <t>5</t>
  </si>
  <si>
    <t>1.21-3103-21-3/1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</si>
  <si>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16 мм2 (без стоимости материалов)</t>
  </si>
  <si>
    <t>СН-2012.1 Выпуск № 5 (в текущих ценах по состоянию на 01.10.2025 г.). 1.21-3103-21-3/1</t>
  </si>
  <si>
    <t>5,1</t>
  </si>
  <si>
    <t>Провод силовой гибкий 3G2,5 круглый</t>
  </si>
  <si>
    <t>[457,29 / 1,2]</t>
  </si>
  <si>
    <t>5,2</t>
  </si>
  <si>
    <t>Вилка кабельная Schuko 16А 220V 2P+E IP 54</t>
  </si>
  <si>
    <t>[927,02 / 1,2]</t>
  </si>
  <si>
    <t>6</t>
  </si>
  <si>
    <t>1.21-3103-29-1/1</t>
  </si>
  <si>
    <t>Прокладка коробок ответвительных к распределительному шинопроводу, коробок с предохранителем или разъединителем, или автоматом, или указателем напряжения (без стоимости материалов)</t>
  </si>
  <si>
    <t>100 шт.</t>
  </si>
  <si>
    <t>СН-2012.1 Выпуск № 5 (в текущих ценах по состоянию на 01.10.2025 г.). 1.21-3103-29-1/1</t>
  </si>
  <si>
    <t>6,1</t>
  </si>
  <si>
    <t>Распределительная коробка водонепроницаемая на 3 выхода, 450V, 140x78x36</t>
  </si>
  <si>
    <t>[642,71 / 1,2]</t>
  </si>
  <si>
    <t>6,2</t>
  </si>
  <si>
    <t>Распределительная коробка водонепроницаемая на 2 выхода, 450V, 125x55x36</t>
  </si>
  <si>
    <t>6,3</t>
  </si>
  <si>
    <t>Разъемы герметичные (штекер-гнездо) IP67, 5 А, 250 В</t>
  </si>
  <si>
    <t>[210,21 / 1,2]</t>
  </si>
  <si>
    <t>6,4</t>
  </si>
  <si>
    <t>21.21-5-239</t>
  </si>
  <si>
    <t>Наконечники герметичные изолированные под опрессовку, с алюминиевой клеммой, тип CPTA 16</t>
  </si>
  <si>
    <t>СН-2012.21 Выпуск № 5 (в текущих ценах по состоянию на 01.10.2025 г.). 21.21-5-239</t>
  </si>
  <si>
    <t>6,5</t>
  </si>
  <si>
    <t>21.21-5-60</t>
  </si>
  <si>
    <t>Коробки ответвительные алюминиевые для шинопроводов ШРА 4 (ШРА 73), тип У 2051 У3, с автоматическими выключателями</t>
  </si>
  <si>
    <t>СН-2012.21 Выпуск № 5 (в текущих ценах по состоянию на 01.10.2025 г.). 21.21-5-60</t>
  </si>
  <si>
    <t>7</t>
  </si>
  <si>
    <t>1.23-3303-1-1/1</t>
  </si>
  <si>
    <t>Установка аппаратуры настольной - аппарата настольного массой до 0,015 т / прим.</t>
  </si>
  <si>
    <t>СН-2012.1 Выпуск № 5 (в текущих ценах по состоянию на 01.10.2025 г.). 1.23-3303-1-1/1</t>
  </si>
  <si>
    <t>7,1</t>
  </si>
  <si>
    <t>Комплект подключения для гибкого неона  (120-220V) с блоком питания до 50 метров.  Светодиодный Гибкий Неон Rich LED, односторонний и двухсторонний,  белый, синий, красный, зелёный  кратность резки 1 метр, размер 8*16 мм, 220 В, 50 м  120-220V-W/W</t>
  </si>
  <si>
    <t>[1 087,67 / 1,2]</t>
  </si>
  <si>
    <t>7,2</t>
  </si>
  <si>
    <t>Переходник для неона</t>
  </si>
  <si>
    <t>[444,96 / 1,2]</t>
  </si>
  <si>
    <t>8</t>
  </si>
  <si>
    <t>1.20-3103-21-1/1</t>
  </si>
  <si>
    <t>Прокладка кабеля в монтажном кабель-канале по фасаду здания при доступе с автоподъемника (прим.)</t>
  </si>
  <si>
    <t>СН-2012.1 Выпуск № 5 (в текущих ценах по состоянию на 01.10.2025 г.). 1.20-3103-21-1/1</t>
  </si>
  <si>
    <t>8,1</t>
  </si>
  <si>
    <t>Светодиодный Гибкий Неон LED, односторонний и двухсторонний, белый, синий, красный, зелёный   кратность резки 1 метр, размер 8*16 мм, 220 В, 50 м   120-220V-W/W</t>
  </si>
  <si>
    <t>[63 035,98 / 1,2]</t>
  </si>
  <si>
    <t>9</t>
  </si>
  <si>
    <t>Прокладка кабеля в монтажном кабель-канале по фасаду здания при доступе с автоподъемника</t>
  </si>
  <si>
    <t>9,1</t>
  </si>
  <si>
    <t>Светодиодная лента герметичная   B60-10mm 24V (14.4 W/m, IP65, 5060, 5m)</t>
  </si>
  <si>
    <t>[1 709,4 / 1,2]</t>
  </si>
  <si>
    <t>10</t>
  </si>
  <si>
    <t>Установка аппаратуры настольной - аппарата настольного массой до 0,015 т / блок питания</t>
  </si>
  <si>
    <t>10,1</t>
  </si>
  <si>
    <t>Блок питания 24V 400W   для подключения светодиодной ленты</t>
  </si>
  <si>
    <t>[16 296,66 / 1,2]</t>
  </si>
  <si>
    <t>11</t>
  </si>
  <si>
    <t>1.20-3103-6-7/1</t>
  </si>
  <si>
    <t>Установка прожектора на стальной мачте отдельно, с лампой мощностью 500 Вт / прим. 100 Вт</t>
  </si>
  <si>
    <t>СН-2012.1 Выпуск № 5 (в текущих ценах по состоянию на 01.10.2025 г.). 1.20-3103-6-7/1</t>
  </si>
  <si>
    <t>11,1</t>
  </si>
  <si>
    <t>21.21-5-283</t>
  </si>
  <si>
    <t>Предохранители ПН-2 на номинальное напряжение 500 В, тип ПН-2-100</t>
  </si>
  <si>
    <t>СН-2012.21 Выпуск № 5 (в текущих ценах по состоянию на 01.10.2025 г.). 21.21-5-283</t>
  </si>
  <si>
    <t>11,2</t>
  </si>
  <si>
    <t>21.21-5-417</t>
  </si>
  <si>
    <t>Шина нулевая 6х9 мм на двух угловых пластиковых изоляторах, 4 группы</t>
  </si>
  <si>
    <t>СН-2012.21 Выпуск № 5 (в текущих ценах по состоянию на 01.10.2025 г.). 21.21-5-417</t>
  </si>
  <si>
    <t>11,3</t>
  </si>
  <si>
    <t>21.21-5-89</t>
  </si>
  <si>
    <t>Коробки монтажные установочные пластмассовые, диаметр 60 мм, глубина 40 мм / прим. колпак силиконовый</t>
  </si>
  <si>
    <t>СН-2012.21 Выпуск № 5 (в текущих ценах по состоянию на 01.10.2025 г.). 21.21-5-89</t>
  </si>
  <si>
    <t>11,4</t>
  </si>
  <si>
    <t>21.21-5-420</t>
  </si>
  <si>
    <t>Колодки клеммные для сетей наружного освещения, винтовые, количество контактов 4</t>
  </si>
  <si>
    <t>СН-2012.21 Выпуск № 5 (в текущих ценах по состоянию на 01.10.2025 г.). 21.21-5-420</t>
  </si>
  <si>
    <t>11,5</t>
  </si>
  <si>
    <t>21.21-5-158</t>
  </si>
  <si>
    <t>Муфты соединительные термоусаживаемые для соединения силовых кабелей на напряжение 6, 10 кВ, без соединителей, тип 3 Стп10-240, сечение жил 150-240 мм2</t>
  </si>
  <si>
    <t>компл.</t>
  </si>
  <si>
    <t>СН-2012.21 Выпуск № 5 (в текущих ценах по состоянию на 01.10.2025 г.). 21.21-5-158</t>
  </si>
  <si>
    <t>11,6</t>
  </si>
  <si>
    <t>Прожектор светодиодный ДО 100 Вт 6500К 10000 лм 100-240В IP65 282х222х68мм Алюминий матовый призматический рассеиватель</t>
  </si>
  <si>
    <t>[8 652,03 / 1,2]</t>
  </si>
  <si>
    <t>12</t>
  </si>
  <si>
    <t>12,1</t>
  </si>
  <si>
    <t>12,2</t>
  </si>
  <si>
    <t>12,3</t>
  </si>
  <si>
    <t>12,4</t>
  </si>
  <si>
    <t>12,5</t>
  </si>
  <si>
    <t>12,6</t>
  </si>
  <si>
    <t>Светодиодный линейный прожектор   36LED 6400К, 1000х40х48mm, 36W 85-265V, IP65</t>
  </si>
  <si>
    <t>[11 655,4 / 1,2]</t>
  </si>
  <si>
    <t>13</t>
  </si>
  <si>
    <t>13,1</t>
  </si>
  <si>
    <t>13,2</t>
  </si>
  <si>
    <t>13,3</t>
  </si>
  <si>
    <t>13,4</t>
  </si>
  <si>
    <t>13,5</t>
  </si>
  <si>
    <t>13,6</t>
  </si>
  <si>
    <t>Светодиодный Прожектор  50Вт 4000К IP65 асимметричный</t>
  </si>
  <si>
    <t>[5 889,59 / 1,2]</t>
  </si>
  <si>
    <t>14</t>
  </si>
  <si>
    <t>14,1</t>
  </si>
  <si>
    <t>Шкаф коммутационный для блоков питания</t>
  </si>
  <si>
    <t>[14 831,97 / 1,2]</t>
  </si>
  <si>
    <t>15</t>
  </si>
  <si>
    <t>15,1</t>
  </si>
  <si>
    <t>Нержавеющий трос в пвх оплетке 3,0/4,0 мм, 100м</t>
  </si>
  <si>
    <t>[19 652,37 / 1,2]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</si>
  <si>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</si>
  <si>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</si>
  <si>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</si>
  <si>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</si>
  <si>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</si>
  <si>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</si>
  <si>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</si>
  <si>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</si>
  <si>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</si>
  <si>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</si>
  <si>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</si>
  <si>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</si>
  <si>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</si>
  <si>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</si>
  <si>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</si>
  <si>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</si>
  <si>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</si>
  <si>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</si>
  <si>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</si>
  <si>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</si>
  <si>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</si>
  <si>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</si>
  <si>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</si>
  <si>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</si>
  <si>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</si>
  <si>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</si>
  <si>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</si>
  <si>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</si>
  <si>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</si>
  <si>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</si>
  <si>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</si>
  <si>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</si>
  <si>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</si>
  <si>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</si>
  <si>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</si>
  <si>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</si>
  <si>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</si>
  <si>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</si>
  <si>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</si>
  <si>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</si>
  <si>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</si>
  <si>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</si>
  <si>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</si>
  <si>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</si>
  <si>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</si>
  <si>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</si>
  <si>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</si>
  <si>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</si>
  <si>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</si>
  <si>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</si>
  <si>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</si>
  <si>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</si>
  <si>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</si>
  <si>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</si>
  <si>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и1</t>
  </si>
  <si>
    <t>Итого</t>
  </si>
  <si>
    <t>и2</t>
  </si>
  <si>
    <t>НДС 20%</t>
  </si>
  <si>
    <t>и3</t>
  </si>
  <si>
    <t>Декорационное оформление</t>
  </si>
  <si>
    <t>Разработка дизайн-проекта</t>
  </si>
  <si>
    <t>Материалы</t>
  </si>
  <si>
    <t>Материалы, изделия и конструкции</t>
  </si>
  <si>
    <t>[2 337 780,27 / 1,2]</t>
  </si>
  <si>
    <t>Входная группа</t>
  </si>
  <si>
    <t>[4 288 560,02 / 1,2]</t>
  </si>
  <si>
    <t>[1 608 359,94 / 1,2]</t>
  </si>
  <si>
    <t>Ограждения Н 3700, 2600*3700  (Силовой конструктив -каркас 77м2 , металлический каркас, окрасочные работы, белый мат, полноцветная печать на баннерной ткани 720 dpi , откосы,монтажный крепеж.)</t>
  </si>
  <si>
    <t>[1 689 139,38 / 1,2]</t>
  </si>
  <si>
    <t>Ограждения Н 4000, 10000*4000  (Силовой конструктив -каркас 40м2 , металлический каркас, окрасочные работы, белый мат, полноцветная печать на баннерной ткани 720 dpi , откосы,монтажный крепеж Ниша для подсветки уголок алюминиевый 50*25 ,580 м.п.)</t>
  </si>
  <si>
    <t>[1 459 960,02 / 1,2]</t>
  </si>
  <si>
    <t>[1 231 140,01 / 1,2]</t>
  </si>
  <si>
    <t>[1 646 879,96 / 1,2]</t>
  </si>
  <si>
    <t>[1 209 600,02 / 1,2]</t>
  </si>
  <si>
    <t>Направляющий профиль под подсветку 600000*25*25, 600 м.п (Силовой конструктив, металлический каркас 25*25 , покрасочные работы, белый мат, куплунг крепеж Т- образный)</t>
  </si>
  <si>
    <t>[1 361 197,95 / 1,2]</t>
  </si>
  <si>
    <t>Итого с НДС</t>
  </si>
  <si>
    <t>Уровень цен на 01.10.2025</t>
  </si>
  <si>
    <t>_OBSM_</t>
  </si>
  <si>
    <t>9999990008</t>
  </si>
  <si>
    <t>Трудозатраты рабочих</t>
  </si>
  <si>
    <t>чел.-ч.</t>
  </si>
  <si>
    <t>22.1-13-15</t>
  </si>
  <si>
    <t>СН-2012.22 Выпуск № 5 (в текущих ценах по состоянию на 01.10.2025 г.). 22.1-13-15</t>
  </si>
  <si>
    <t>Аппараты сварочные</t>
  </si>
  <si>
    <t>маш.-ч</t>
  </si>
  <si>
    <t>22.1-4-22</t>
  </si>
  <si>
    <t>СН-2012.22 Выпуск № 5 (в текущих ценах по состоянию на 01.10.2025 г.). 22.1-4-22</t>
  </si>
  <si>
    <t>Вышки телескопические на автомобиле, высота до 22 м, грузоподъемность 250-300 кг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</si>
  <si>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</si>
  <si>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</si>
  <si>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</si>
  <si>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кг</t>
  </si>
  <si>
    <t>21.21-5-114</t>
  </si>
  <si>
    <t>СН-2012.21 Выпуск № 5 (в текущих ценах по состоянию на 01.10.2025 г.). 21.21-5-114</t>
  </si>
  <si>
    <t>Лента монтажная, тип ЛМ-5</t>
  </si>
  <si>
    <t>м</t>
  </si>
  <si>
    <t>21.21-5-2</t>
  </si>
  <si>
    <t>СН-2012.21 Выпуск № 5 (в текущих ценах по состоянию на 01.10.2025 г.). 21.21-5-2</t>
  </si>
  <si>
    <t>Бирки маркировочные для кабелей и проводов, тип У153 У3,5</t>
  </si>
  <si>
    <t>1000 шт.</t>
  </si>
  <si>
    <t>21.21-5-305</t>
  </si>
  <si>
    <t>СН-2012.21 Выпуск № 5 (в текущих ценах по состоянию на 01.10.2025 г.). 21.21-5-305</t>
  </si>
  <si>
    <t>Сжимы, тип У731М для проводников магистральных сечением от 4 до 10 мм2 и ответвительных от 1,5 до 10 мм2</t>
  </si>
  <si>
    <t>21.21-5-342</t>
  </si>
  <si>
    <t>СН-2012.21 Выпуск № 5 (в текущих ценах по состоянию на 01.10.2025 г.). 21.21-5-342</t>
  </si>
  <si>
    <t>Хомуты (стяжки) кабельные из полиамида, размеры 3,6х200 мм</t>
  </si>
  <si>
    <t>21.21-5-44</t>
  </si>
  <si>
    <t>СН-2012.21 Выпуск № 5 (в текущих ценах по состоянию на 01.10.2025 г.). 21.21-5-44</t>
  </si>
  <si>
    <t>Кнопки для ленты ЛМ, тип 3,5</t>
  </si>
  <si>
    <t>22.1-30-103</t>
  </si>
  <si>
    <t>СН-2012.22 Выпуск № 5 (в текущих ценах по состоянию на 01.10.2025 г.). 22.1-30-103</t>
  </si>
  <si>
    <t>Перфораторы электрические, мощность до 800 Вт</t>
  </si>
  <si>
    <t>22.1-30-56</t>
  </si>
  <si>
    <t>СН-2012.22 Выпуск № 5 (в текущих ценах по состоянию на 01.10.2025 г.). 22.1-30-56</t>
  </si>
  <si>
    <t>Шуруповерты</t>
  </si>
  <si>
    <t>21.1-11-108</t>
  </si>
  <si>
    <t>СН-2012.21 Выпуск № 5 (в текущих ценах по состоянию на 01.10.2025 г.). 21.1-11-108</t>
  </si>
  <si>
    <t>Шурупы - саморезы, размер 3,5х45 мм</t>
  </si>
  <si>
    <t>т</t>
  </si>
  <si>
    <t>21.1-11-198</t>
  </si>
  <si>
    <t>СН-2012.21 Выпуск № 5 (в текущих ценах по состоянию на 01.10.2025 г.). 21.1-11-198</t>
  </si>
  <si>
    <t>Дюбели пластмассовые</t>
  </si>
  <si>
    <t>21.12-5-136</t>
  </si>
  <si>
    <t>СН-2012.21 Выпуск № 5 (в текущих ценах по состоянию на 01.10.2025 г.). 21.12-5-136</t>
  </si>
  <si>
    <t>Трубы электротехнические гофрированные, поливинилхлоридные, негорючие, с зондом, наружный диаметр 20 мм</t>
  </si>
  <si>
    <t>21.21-5-358</t>
  </si>
  <si>
    <t>СН-2012.21 Выпуск № 5 (в текущих ценах по состоянию на 01.10.2025 г.). 21.21-5-358</t>
  </si>
  <si>
    <t>Держатели пластиковые с защелкой для крепления труб, рукавов и гибких вводов диаметром 20 мм</t>
  </si>
  <si>
    <t>21.7-3-2</t>
  </si>
  <si>
    <t>СН-2012.21 Выпуск № 5 (в текущих ценах по состоянию на 01.10.2025 г.). 21.7-3-2</t>
  </si>
  <si>
    <t>Буры с победитовым наконечником, с хвостовиком SDS-plus, размеры 10х160 мм</t>
  </si>
  <si>
    <t>22.1-4-24</t>
  </si>
  <si>
    <t>СН-2012.22 Выпуск № 5 (в текущих ценах по состоянию на 01.10.2025 г.). 22.1-4-24</t>
  </si>
  <si>
    <t>Вышки телескопические на автомобиле, высота до 35 м, грузоподъемность до 350 кг</t>
  </si>
  <si>
    <t>Ограждения Н 1100 58000*1100  (Силовой конструктив -каркас 638 м2 , металлический каркас, окрасочные работы, белый мат, полноцветная печать на баннерной ткани 720 dpi , монтажный крепеж. Ниша для подсветки 50*25 ,580 м.п. уголок улюминиевый,монтажный крепеж)</t>
  </si>
  <si>
    <t>Ограждения Н 2100 27000*2100  (Силовой конструктив -каркас 57м2 , металлический каркас, окрасочные работы, белый мат, полноцветная печать на баннерной ткани 720 dpi , монтажный крепеж. Ниша для подсветки 50*25, 580 м.п. уголок улюминиевый,монтажный крепеж)</t>
  </si>
  <si>
    <t>Надпись 1- Москино, 5200*2100*250 (Силовой конструктив -каркас 2 шт , металлический каркас, окрасочные работы, белый мат, полноцветная печать на баннерной ткани 720 dpi , задник для фиксации ленты) Декорирование обратной стороны (металлический каркас, покрасочные работ, белый мат., баннерный белый, торцевые накладки, герметик, монтажный крепеж)</t>
  </si>
  <si>
    <t>Хлопушка 4300*4800*400  (Силовой конструктив -каркас 4 шт, металлический каркас, окрасочные работы, белый мат, полноцветная печать на баннерной ткани 720 dpi , монтажный крепеж.Декорирование обратной стороны (металлический каркас, покрасочные работ, белый мат., баннерный белый, торцевые накладки, герметик, монтажный крепеж) 4 шт.</t>
  </si>
  <si>
    <t>Надпись 2- Москино, 7500*2600*400 (Силовой конструктив -каркас 2 шт , металлический каркас, окрасочные работы, белый мат, полноцветная печать на баннерной ткани 720 dpi , задник для фиксации ленты) Декорирование обратной стороны (металлический каркас, покрасочные работ, белый мат., баннерный белый, торцевые накладки, герметик, монтажный крепеж)</t>
  </si>
  <si>
    <t>"СОГЛАСОВАНО"</t>
  </si>
  <si>
    <t>"УТВЕРЖДАЮ"</t>
  </si>
  <si>
    <t>Форма № 1а (глава 1-5)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</si>
  <si>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</si>
  <si>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</si>
  <si>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</si>
  <si>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</si>
  <si>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</si>
  <si>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</si>
  <si>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</si>
  <si>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</si>
  <si>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</si>
  <si>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</si>
  <si>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стоимостного норматива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</si>
  <si>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</si>
  <si>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</si>
  <si>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</si>
  <si>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</si>
  <si>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</si>
  <si>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</si>
  <si>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</si>
  <si>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</si>
  <si>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</si>
  <si>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 xml:space="preserve">ЗТР, всего чел.-час
</t>
  </si>
  <si>
    <t xml:space="preserve">Ст-ть ед. с начислен.
</t>
  </si>
  <si>
    <t>Составлен(а) в уровне текущих (прогнозных) цен на IV квартал 2025 года</t>
  </si>
  <si>
    <t>ЗП</t>
  </si>
  <si>
    <t>ЭМ</t>
  </si>
  <si>
    <t>в т.ч. ЗПМ</t>
  </si>
  <si>
    <r>
      <t>Короб силовой CEE 32A 16A</t>
    </r>
    <r>
      <rPr>
        <i/>
        <sz val="10"/>
        <rFont val="Arial"/>
        <family val="2"/>
        <charset val="204"/>
      </rPr>
      <t xml:space="preserve">
44 980,08 = [53 976,1 / 1,2]</t>
    </r>
  </si>
  <si>
    <t>НР от ЗП</t>
  </si>
  <si>
    <t>%</t>
  </si>
  <si>
    <t>НП от ЗП</t>
  </si>
  <si>
    <t>НР и НП от ЗПМ</t>
  </si>
  <si>
    <t>ЗТР</t>
  </si>
  <si>
    <t>чел-ч</t>
  </si>
  <si>
    <r>
      <t>Удлинитель CEE 32A 25 м</t>
    </r>
    <r>
      <rPr>
        <i/>
        <sz val="10"/>
        <rFont val="Arial"/>
        <family val="2"/>
        <charset val="204"/>
      </rPr>
      <t xml:space="preserve">
37 099,99 = [44 519,99 / 1,2]</t>
    </r>
  </si>
  <si>
    <r>
      <t>Удлинитель Schuko-Schuko 10 м</t>
    </r>
    <r>
      <rPr>
        <i/>
        <sz val="10"/>
        <rFont val="Arial"/>
        <family val="2"/>
        <charset val="204"/>
      </rPr>
      <t xml:space="preserve">
6 150,60 = [7 380,72 / 1,2]</t>
    </r>
  </si>
  <si>
    <r>
      <t>Удлинитель Schuko-Schuko 20 м</t>
    </r>
    <r>
      <rPr>
        <i/>
        <sz val="10"/>
        <rFont val="Arial"/>
        <family val="2"/>
        <charset val="204"/>
      </rPr>
      <t xml:space="preserve">
10 506,00 = [12 607,2 / 1,2]</t>
    </r>
  </si>
  <si>
    <r>
      <t>Удлинитель Schuko-Schuko 30 м</t>
    </r>
    <r>
      <rPr>
        <i/>
        <sz val="10"/>
        <rFont val="Arial"/>
        <family val="2"/>
        <charset val="204"/>
      </rPr>
      <t xml:space="preserve">
15 399,96 = [18 479,95 / 1,2]</t>
    </r>
  </si>
  <si>
    <r>
      <t>Удлинитель Male Schuko - 3 Schuko (тройник\разветвитель)</t>
    </r>
    <r>
      <rPr>
        <i/>
        <sz val="10"/>
        <rFont val="Arial"/>
        <family val="2"/>
        <charset val="204"/>
      </rPr>
      <t xml:space="preserve">
7 250,04 = [8 700,05 / 1,2]</t>
    </r>
  </si>
  <si>
    <t>МР</t>
  </si>
  <si>
    <r>
      <t>Кабель соединительный 2х0.75</t>
    </r>
    <r>
      <rPr>
        <i/>
        <sz val="10"/>
        <rFont val="Arial"/>
        <family val="2"/>
        <charset val="204"/>
      </rPr>
      <t xml:space="preserve">
58,70 = [70,44 / 1,2]</t>
    </r>
  </si>
  <si>
    <r>
      <t>Провод силовой гибкий 3G2,5 круглый</t>
    </r>
    <r>
      <rPr>
        <i/>
        <sz val="10"/>
        <rFont val="Arial"/>
        <family val="2"/>
        <charset val="204"/>
      </rPr>
      <t xml:space="preserve">
381,08 = [457,29 / 1,2]</t>
    </r>
  </si>
  <si>
    <r>
      <t>Вилка кабельная Schuko 16А 220V 2P+E IP 54</t>
    </r>
    <r>
      <rPr>
        <i/>
        <sz val="10"/>
        <rFont val="Arial"/>
        <family val="2"/>
        <charset val="204"/>
      </rPr>
      <t xml:space="preserve">
772,52 = [927,02 / 1,2]</t>
    </r>
  </si>
  <si>
    <r>
      <t>Распределительная коробка водонепроницаемая на 3 выхода, 450V, 140x78x36</t>
    </r>
    <r>
      <rPr>
        <i/>
        <sz val="10"/>
        <rFont val="Arial"/>
        <family val="2"/>
        <charset val="204"/>
      </rPr>
      <t xml:space="preserve">
535,59 = [642,71 / 1,2]</t>
    </r>
  </si>
  <si>
    <r>
      <t>Распределительная коробка водонепроницаемая на 2 выхода, 450V, 125x55x36</t>
    </r>
    <r>
      <rPr>
        <i/>
        <sz val="10"/>
        <rFont val="Arial"/>
        <family val="2"/>
        <charset val="204"/>
      </rPr>
      <t xml:space="preserve">
535,59 = [642,71 / 1,2]</t>
    </r>
  </si>
  <si>
    <r>
      <t>Разъемы герметичные (штекер-гнездо) IP67, 5 А, 250 В</t>
    </r>
    <r>
      <rPr>
        <i/>
        <sz val="10"/>
        <rFont val="Arial"/>
        <family val="2"/>
        <charset val="204"/>
      </rPr>
      <t xml:space="preserve">
175,18 = [210,21 / 1,2]</t>
    </r>
  </si>
  <si>
    <r>
      <t>Комплект подключения для гибкого неона  (120-220V) с блоком питания до 50 метров.  Светодиодный Гибкий Неон Rich LED, односторонний и двухсторонний,  белый, синий, красный, зелёный  кратность резки 1 метр, размер 8*16 мм, 220 В, 50 м  120-220V-W/W</t>
    </r>
    <r>
      <rPr>
        <i/>
        <sz val="10"/>
        <rFont val="Arial"/>
        <family val="2"/>
        <charset val="204"/>
      </rPr>
      <t xml:space="preserve">
906,39 = [1 087,67 / 1,2]</t>
    </r>
  </si>
  <si>
    <r>
      <t>Переходник для неона</t>
    </r>
    <r>
      <rPr>
        <i/>
        <sz val="10"/>
        <rFont val="Arial"/>
        <family val="2"/>
        <charset val="204"/>
      </rPr>
      <t xml:space="preserve">
370,80 = [444,96 / 1,2]</t>
    </r>
  </si>
  <si>
    <r>
      <t>Светодиодный Гибкий Неон LED, односторонний и двухсторонний, белый, синий, красный, зелёный   кратность резки 1 метр, размер 8*16 мм, 220 В, 50 м   120-220V-W/W</t>
    </r>
    <r>
      <rPr>
        <i/>
        <sz val="10"/>
        <rFont val="Arial"/>
        <family val="2"/>
        <charset val="204"/>
      </rPr>
      <t xml:space="preserve">
52 529,98 = [63 035,98 / 1,2]</t>
    </r>
  </si>
  <si>
    <r>
      <t>Светодиодная лента герметичная   B60-10mm 24V (14.4 W/m, IP65, 5060, 5m)</t>
    </r>
    <r>
      <rPr>
        <i/>
        <sz val="10"/>
        <rFont val="Arial"/>
        <family val="2"/>
        <charset val="204"/>
      </rPr>
      <t xml:space="preserve">
1 424,50 = [1 709,4 / 1,2]</t>
    </r>
  </si>
  <si>
    <r>
      <t>Блок питания 24V 400W   для подключения светодиодной ленты</t>
    </r>
    <r>
      <rPr>
        <i/>
        <sz val="10"/>
        <rFont val="Arial"/>
        <family val="2"/>
        <charset val="204"/>
      </rPr>
      <t xml:space="preserve">
13 580,55 = [16 296,66 / 1,2]</t>
    </r>
  </si>
  <si>
    <r>
      <t>Прожектор светодиодный ДО 100 Вт 6500К 10000 лм 100-240В IP65 282х222х68мм Алюминий матовый призматический рассеиватель</t>
    </r>
    <r>
      <rPr>
        <i/>
        <sz val="10"/>
        <rFont val="Arial"/>
        <family val="2"/>
        <charset val="204"/>
      </rPr>
      <t xml:space="preserve">
7 210,03 = [8 652,03 / 1,2]</t>
    </r>
  </si>
  <si>
    <r>
      <t>Светодиодный линейный прожектор   36LED 6400К, 1000х40х48mm, 36W 85-265V, IP65</t>
    </r>
    <r>
      <rPr>
        <i/>
        <sz val="10"/>
        <rFont val="Arial"/>
        <family val="2"/>
        <charset val="204"/>
      </rPr>
      <t xml:space="preserve">
9 712,83 = [11 655,4 / 1,2]</t>
    </r>
  </si>
  <si>
    <r>
      <t>Светодиодный Прожектор  50Вт 4000К IP65 асимметричный</t>
    </r>
    <r>
      <rPr>
        <i/>
        <sz val="10"/>
        <rFont val="Arial"/>
        <family val="2"/>
        <charset val="204"/>
      </rPr>
      <t xml:space="preserve">
4 907,99 = [5 889,59 / 1,2]</t>
    </r>
  </si>
  <si>
    <r>
      <t>Шкаф коммутационный для блоков питания</t>
    </r>
    <r>
      <rPr>
        <i/>
        <sz val="10"/>
        <rFont val="Arial"/>
        <family val="2"/>
        <charset val="204"/>
      </rPr>
      <t xml:space="preserve">
12 359,98 = [14 831,97 / 1,2]</t>
    </r>
  </si>
  <si>
    <r>
      <t>Нержавеющий трос в пвх оплетке 3,0/4,0 мм, 100м</t>
    </r>
    <r>
      <rPr>
        <i/>
        <sz val="10"/>
        <rFont val="Arial"/>
        <family val="2"/>
        <charset val="204"/>
      </rPr>
      <t xml:space="preserve">
16 376,98 = [19 652,37 / 1,2]</t>
    </r>
  </si>
  <si>
    <r>
      <t>Разработка дизайн-проекта</t>
    </r>
    <r>
      <rPr>
        <i/>
        <sz val="10"/>
        <rFont val="Arial"/>
        <family val="2"/>
        <charset val="204"/>
      </rPr>
      <t xml:space="preserve">
1 948 150,23 = [2 337 780,27 / 1,2]</t>
    </r>
  </si>
  <si>
    <r>
      <t>Ограждения Н 1100 58000*1100  (Силовой конструктив -каркас 638 м2 , металлический каркас, окрасочные работы, белый мат, полноцветная печать на баннерной ткани 720 dpi , монтажный крепеж. Ниша для подсветки 50*25 ,580 м.п. уголок улюминиевый,монтажный крепеж)</t>
    </r>
    <r>
      <rPr>
        <i/>
        <sz val="10"/>
        <rFont val="Arial"/>
        <family val="2"/>
        <charset val="204"/>
      </rPr>
      <t xml:space="preserve">
3 573 800,02 = [4 288 560,02 / 1,2]</t>
    </r>
  </si>
  <si>
    <r>
      <t>Ограждения Н 2100 27000*2100  (Силовой конструктив -каркас 57м2 , металлический каркас, окрасочные работы, белый мат, полноцветная печать на баннерной ткани 720 dpi , монтажный крепеж. Ниша для подсветки 50*25, 580 м.п. уголок улюминиевый,монтажный крепеж)</t>
    </r>
    <r>
      <rPr>
        <i/>
        <sz val="10"/>
        <rFont val="Arial"/>
        <family val="2"/>
        <charset val="204"/>
      </rPr>
      <t xml:space="preserve">
1 340 299,95 = [1 608 359,94 / 1,2]</t>
    </r>
  </si>
  <si>
    <r>
      <t>Ограждения Н 3700, 2600*3700  (Силовой конструктив -каркас 77м2 , металлический каркас, окрасочные работы, белый мат, полноцветная печать на баннерной ткани 720 dpi , откосы,монтажный крепеж.)</t>
    </r>
    <r>
      <rPr>
        <i/>
        <sz val="10"/>
        <rFont val="Arial"/>
        <family val="2"/>
        <charset val="204"/>
      </rPr>
      <t xml:space="preserve">
1 407 616,15 = [1 689 139,38 / 1,2]</t>
    </r>
  </si>
  <si>
    <r>
      <t>Ограждения Н 4000, 10000*4000  (Силовой конструктив -каркас 40м2 , металлический каркас, окрасочные работы, белый мат, полноцветная печать на баннерной ткани 720 dpi , откосы,монтажный крепеж Ниша для подсветки уголок алюминиевый 50*25 ,580 м.п.)</t>
    </r>
    <r>
      <rPr>
        <i/>
        <sz val="10"/>
        <rFont val="Arial"/>
        <family val="2"/>
        <charset val="204"/>
      </rPr>
      <t xml:space="preserve">
1 216 633,35 = [1 459 960,02 / 1,2]</t>
    </r>
  </si>
  <si>
    <r>
      <t>Надпись 1- Москино, 5200*2100*250 (Силовой конструктив -каркас 2 шт , металлический каркас, окрасочные работы, белый мат, полноцветная печать на баннерной ткани 720 dpi , задник для фиксации ленты) Декорирование обратной стороны (металлический каркас, покрасочные работ, белый мат., баннерный белый, торцевые накладки, герметик, монтажный крепеж)</t>
    </r>
    <r>
      <rPr>
        <i/>
        <sz val="10"/>
        <rFont val="Arial"/>
        <family val="2"/>
        <charset val="204"/>
      </rPr>
      <t xml:space="preserve">
1 025 950,01 = [1 231 140,01 / 1,2]</t>
    </r>
  </si>
  <si>
    <r>
      <t>Хлопушка 4300*4800*400  (Силовой конструктив -каркас 4 шт, металлический каркас, окрасочные работы, белый мат, полноцветная печать на баннерной ткани 720 dpi , монтажный крепеж.Декорирование обратной стороны (металлический каркас, покрасочные работ, белый мат., баннерный белый, торцевые накладки, герметик, монтажный крепеж) 4 шт.</t>
    </r>
    <r>
      <rPr>
        <i/>
        <sz val="10"/>
        <rFont val="Arial"/>
        <family val="2"/>
        <charset val="204"/>
      </rPr>
      <t xml:space="preserve">
1 372 399,97 = [1 646 879,96 / 1,2]</t>
    </r>
  </si>
  <si>
    <r>
      <t>Надпись 2- Москино, 7500*2600*400 (Силовой конструктив -каркас 2 шт , металлический каркас, окрасочные работы, белый мат, полноцветная печать на баннерной ткани 720 dpi , задник для фиксации ленты) Декорирование обратной стороны (металлический каркас, покрасочные работ, белый мат., баннерный белый, торцевые накладки, герметик, монтажный крепеж)</t>
    </r>
    <r>
      <rPr>
        <i/>
        <sz val="10"/>
        <rFont val="Arial"/>
        <family val="2"/>
        <charset val="204"/>
      </rPr>
      <t xml:space="preserve">
1 008 000,02 = [1 209 600,02 / 1,2]</t>
    </r>
  </si>
  <si>
    <r>
      <t>Направляющий профиль под подсветку 600000*25*25, 600 м.п (Силовой конструктив, металлический каркас 25*25 , покрасочные работы, белый мат, куплунг крепеж Т- образный)</t>
    </r>
    <r>
      <rPr>
        <i/>
        <sz val="10"/>
        <rFont val="Arial"/>
        <family val="2"/>
        <charset val="204"/>
      </rPr>
      <t xml:space="preserve">
1 134 331,63 = [1 361 197,95 / 1,2]</t>
    </r>
  </si>
  <si>
    <t xml:space="preserve">Составил   </t>
  </si>
  <si>
    <t>[должность,подпись(инициалы,фамилия)]</t>
  </si>
  <si>
    <t xml:space="preserve">Проверил   </t>
  </si>
  <si>
    <t>___________________________</t>
  </si>
  <si>
    <t>" ___ " ___________ 20 ___ г.</t>
  </si>
  <si>
    <t>№ п/п</t>
  </si>
  <si>
    <t>№ в ЛСР</t>
  </si>
  <si>
    <t>Количество</t>
  </si>
  <si>
    <t>Примечание</t>
  </si>
  <si>
    <t>Главный инженер проекта _________________</t>
  </si>
  <si>
    <t>Составил _________________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</si>
  <si>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</si>
  <si>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</si>
  <si>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</si>
  <si>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</si>
  <si>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</si>
  <si>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</si>
  <si>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</si>
  <si>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</si>
  <si>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</si>
  <si>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</si>
  <si>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</si>
  <si>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</si>
  <si>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</si>
  <si>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</si>
  <si>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</si>
  <si>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</si>
  <si>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</si>
  <si>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</si>
  <si>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</si>
  <si>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</si>
  <si>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</si>
  <si>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</si>
  <si>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</si>
  <si>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</si>
  <si>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</si>
  <si>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</si>
  <si>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</si>
  <si>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</si>
  <si>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</si>
  <si>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</si>
  <si>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</si>
  <si>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</si>
  <si>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</si>
  <si>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</si>
  <si>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</si>
  <si>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</si>
  <si>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</si>
  <si>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</si>
  <si>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</si>
  <si>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</si>
  <si>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</si>
  <si>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</si>
  <si>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</si>
  <si>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</si>
  <si>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Монтаж декоративных тэхлементов тюбинговой горки</t>
  </si>
  <si>
    <t>Обоснование</t>
  </si>
  <si>
    <t>Наименование</t>
  </si>
  <si>
    <t>Объем</t>
  </si>
  <si>
    <t xml:space="preserve">Материальные ресурсы </t>
  </si>
  <si>
    <t>Выполнение комплекса работ по изготовлению и монтажу декоративных элементов тюбинговой горки</t>
  </si>
  <si>
    <t>Приложение к расчету цены договора</t>
  </si>
  <si>
    <t>_______________</t>
  </si>
  <si>
    <t>АНО «Кинопарк»</t>
  </si>
  <si>
    <t>______________________ __________</t>
  </si>
  <si>
    <t xml:space="preserve">______________________ </t>
  </si>
  <si>
    <t>"_____"________________ 202__ г.</t>
  </si>
  <si>
    <t>"_____"________________ 202_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</si>
</sst>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164" fontId="9" fillId="0" borderId="0" xfId="0" applyNumberFormat="1" applyFont="1"/>
    <xf numFmtId="1" fontId="9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0" fontId="9" fillId="0" borderId="0" xfId="0" quotePrefix="1" applyFont="1" applyAlignment="1">
      <alignment horizontal="right" wrapText="1"/>
    </xf>
    <xf numFmtId="165" fontId="0" fillId="0" borderId="0" xfId="0" applyNumberFormat="1"/>
    <xf numFmtId="0" fontId="17" fillId="0" borderId="0" xfId="0" applyFont="1" applyAlignment="1">
      <alignment horizontal="right"/>
    </xf>
    <xf numFmtId="0" fontId="0" fillId="0" borderId="6" xfId="0" applyBorder="1"/>
    <xf numFmtId="165" fontId="17" fillId="0" borderId="6" xfId="0" applyNumberFormat="1" applyFont="1" applyBorder="1" applyAlignment="1">
      <alignment horizontal="right"/>
    </xf>
    <xf numFmtId="0" fontId="7" fillId="0" borderId="0" xfId="0" applyFont="1" applyAlignment="1">
      <alignment vertical="top" wrapText="1"/>
    </xf>
    <xf numFmtId="0" fontId="17" fillId="0" borderId="0" xfId="0" applyFont="1"/>
    <xf numFmtId="0" fontId="9" fillId="0" borderId="1" xfId="0" applyFont="1" applyBorder="1"/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0" fillId="0" borderId="4" xfId="0" quotePrefix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righ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0" fillId="0" borderId="0" xfId="0"/>
    <xf numFmtId="0" fontId="18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0" fillId="0" borderId="0" xfId="0"/>
    <xf numFmtId="165" fontId="9" fillId="0" borderId="0" xfId="0" applyNumberFormat="1" applyFont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7" fillId="0" borderId="6" xfId="0" applyNumberFormat="1" applyFont="1" applyBorder="1" applyAlignment="1">
      <alignment horizontal="right"/>
    </xf>
    <xf numFmtId="0" fontId="10" fillId="0" borderId="0" xfId="0" applyFont="1" applyAlignment="1">
      <alignment horizontal="center" wrapText="1"/>
    </xf>
    <xf numFmtId="165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wrapText="1"/>
    </xf>
    <xf numFmtId="0" fontId="9" fillId="0" borderId="0" xfId="0" applyFont="1" applyAlignment="1">
      <alignment horizontal="right" vertical="center"/>
    </xf>
    <xf numFmtId="0" fontId="8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889000</xdr:colOff>
      <xdr:row>263</xdr:row>
      <xdr:rowOff>174625</xdr:rowOff>
    </xdr:from>
    <xdr:to>
      <xdr:col>4</xdr:col>
      <xdr:colOff>714375</xdr:colOff>
      <xdr:row>269</xdr:row>
      <xdr:rowOff>9525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1E75983-A227-4B3F-935F-4FC177E9D7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87414100"/>
          <a:ext cx="3302000" cy="82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F4ABC-16D9-4FA8-93C2-CD769DC6E193}">
  <sheetPr>
    <pageSetUpPr fitToPage="1"/>
  </sheetPr>
  <dimension ref="A1:V264"/>
  <sheetViews>
    <sheetView tabSelected="1" zoomScaleNormal="100" workbookViewId="0">
      <selection activeCell="A14" sqref="A14:XFD14"/>
    </sheetView>
  </sheetViews>
  <sheetFormatPr defaultRowHeight="12.75" x14ac:dyDescent="0.2"/>
  <cols>
    <col min="1" max="1" width="5.5703125" customWidth="1"/>
    <col min="2" max="2" width="11.5703125" customWidth="1"/>
    <col min="3" max="3" width="40.5703125" customWidth="1"/>
    <col min="4" max="5" width="11.5703125" customWidth="1"/>
    <col min="6" max="6" width="13" customWidth="1"/>
    <col min="7" max="9" width="12.5703125" customWidth="1"/>
    <col min="10" max="10" width="22.28515625" customWidth="1"/>
    <col min="11" max="11" width="21.42578125" customWidth="1"/>
    <col min="15" max="36" width="0" hidden="1" customWidth="1"/>
  </cols>
  <sheetData>
    <row r="1" spans="1:11" ht="14.25" x14ac:dyDescent="0.2">
      <c r="A1" s="7" t="str">
        <f>CONCATENATE(Source!B1, "     СН-2012 (© ГБУ «Аналитический центр», ", "2025", ")")</f>
        <v>Smeta.RU Flash  (495) 974-1589     СН-2012 (© ГБУ «Аналитический центр», 2025)</v>
      </c>
      <c r="J1" s="46" t="s">
        <v>327</v>
      </c>
      <c r="K1" s="46"/>
    </row>
    <row r="2" spans="1:11" ht="14.25" x14ac:dyDescent="0.2">
      <c r="A2" s="8"/>
      <c r="B2" s="8"/>
      <c r="C2" s="8"/>
      <c r="D2" s="8"/>
      <c r="E2" s="8"/>
      <c r="F2" s="8"/>
      <c r="G2" s="8"/>
      <c r="H2" s="8"/>
      <c r="I2" s="42" t="s">
        <v>453</v>
      </c>
    </row>
    <row r="3" spans="1:11" s="42" customFormat="1" x14ac:dyDescent="0.2">
      <c r="A3" s="7"/>
    </row>
    <row r="4" spans="1:11" s="42" customFormat="1" ht="14.25" x14ac:dyDescent="0.2">
      <c r="A4" s="41"/>
      <c r="B4" s="41"/>
      <c r="C4" s="41"/>
      <c r="D4" s="41"/>
      <c r="E4" s="41"/>
      <c r="F4" s="41"/>
      <c r="G4" s="41"/>
      <c r="H4" s="41"/>
      <c r="I4" s="41"/>
    </row>
    <row r="5" spans="1:11" s="42" customFormat="1" ht="16.5" x14ac:dyDescent="0.25">
      <c r="A5" s="10"/>
      <c r="B5" s="51" t="s">
        <v>325</v>
      </c>
      <c r="C5" s="51"/>
      <c r="D5" s="51"/>
      <c r="E5" s="51"/>
      <c r="F5" s="9"/>
      <c r="G5" s="51" t="s">
        <v>326</v>
      </c>
      <c r="H5" s="51"/>
      <c r="I5" s="51"/>
      <c r="J5" s="51"/>
      <c r="K5" s="51"/>
    </row>
    <row r="6" spans="1:11" s="42" customFormat="1" ht="14.25" x14ac:dyDescent="0.2">
      <c r="A6" s="9"/>
      <c r="B6" s="44"/>
      <c r="C6" s="44"/>
      <c r="D6" s="44"/>
      <c r="E6" s="44"/>
      <c r="F6" s="9"/>
      <c r="G6" s="44"/>
      <c r="H6" s="44"/>
      <c r="I6" s="44"/>
      <c r="J6" s="44"/>
      <c r="K6" s="44"/>
    </row>
    <row r="7" spans="1:11" s="42" customFormat="1" ht="15" x14ac:dyDescent="0.25">
      <c r="A7" s="9"/>
      <c r="B7" s="29" t="s">
        <v>454</v>
      </c>
      <c r="C7" s="40"/>
      <c r="D7" s="40"/>
      <c r="E7" s="40"/>
      <c r="F7" s="9"/>
      <c r="G7" s="29" t="s">
        <v>454</v>
      </c>
      <c r="H7" s="40"/>
      <c r="I7" s="40"/>
      <c r="J7" s="40"/>
      <c r="K7" s="40"/>
    </row>
    <row r="8" spans="1:11" s="42" customFormat="1" ht="15" x14ac:dyDescent="0.25">
      <c r="A8" s="40"/>
      <c r="B8" s="29" t="s">
        <v>454</v>
      </c>
      <c r="C8" s="40"/>
      <c r="D8" s="40"/>
      <c r="E8" s="40"/>
      <c r="F8" s="9"/>
      <c r="G8" s="29" t="s">
        <v>455</v>
      </c>
      <c r="H8" s="40"/>
      <c r="I8" s="40"/>
      <c r="J8" s="40"/>
      <c r="K8" s="40"/>
    </row>
    <row r="9" spans="1:11" s="42" customFormat="1" ht="14.25" customHeight="1" x14ac:dyDescent="0.25">
      <c r="A9" s="11"/>
      <c r="B9" s="43"/>
      <c r="C9" s="40"/>
      <c r="D9" s="40"/>
      <c r="E9" s="40"/>
      <c r="F9" s="9"/>
      <c r="G9" s="29"/>
      <c r="H9" s="40"/>
      <c r="I9" s="40"/>
      <c r="J9" s="40"/>
      <c r="K9" s="40"/>
    </row>
    <row r="10" spans="1:11" s="42" customFormat="1" ht="14.25" x14ac:dyDescent="0.2">
      <c r="B10" s="44" t="s">
        <v>456</v>
      </c>
      <c r="C10" s="44"/>
      <c r="D10" s="44"/>
      <c r="E10" s="44"/>
      <c r="F10" s="9"/>
      <c r="G10" s="44" t="s">
        <v>457</v>
      </c>
      <c r="H10" s="44"/>
      <c r="I10" s="44"/>
      <c r="J10" s="44"/>
      <c r="K10" s="44"/>
    </row>
    <row r="11" spans="1:11" s="42" customFormat="1" ht="14.25" x14ac:dyDescent="0.2">
      <c r="A11" s="9"/>
      <c r="B11" s="45" t="s">
        <v>458</v>
      </c>
      <c r="C11" s="45"/>
      <c r="D11" s="45"/>
      <c r="E11" s="45"/>
      <c r="F11" s="9"/>
      <c r="G11" s="45" t="s">
        <v>459</v>
      </c>
      <c r="H11" s="45"/>
      <c r="I11" s="45"/>
      <c r="J11" s="45"/>
      <c r="K11" s="45"/>
    </row>
    <row r="12" spans="1:11" ht="14.25" hidden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s="42" customFormat="1" ht="14.25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s="42" customFormat="1" ht="14.25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ht="15.75" x14ac:dyDescent="0.25">
      <c r="A15" s="49" t="str">
        <f>CONCATENATE( "ЛОКАЛЬНАЯ СМЕТА № 1",IF(Source!F12&lt;&gt;"Новый объект", Source!F12, ""))</f>
        <v>ЛОКАЛЬНАЯ СМЕТА № 1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</row>
    <row r="16" spans="1:11" x14ac:dyDescent="0.2">
      <c r="A16" s="47" t="s">
        <v>328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</row>
    <row r="17" spans="1:1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1" ht="18" x14ac:dyDescent="0.25">
      <c r="A18" s="48" t="str">
        <f>IF(Source!G12&lt;&gt;"Новый объект", Source!G12, "")</f>
        <v>Выполнение комплекса работ по изготовлению и монтажу декоративных элементов тюбинговой горки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x14ac:dyDescent="0.2">
      <c r="A19" s="47" t="s">
        <v>329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</row>
    <row r="20" spans="1:11" ht="14.2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ht="14.25" x14ac:dyDescent="0.2">
      <c r="A21" s="45" t="str">
        <f>CONCATENATE( "Основание: чертежи № ", Source!J12)</f>
        <v xml:space="preserve">Основание: чертежи № 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</row>
    <row r="22" spans="1:11" ht="14.2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ht="14.25" x14ac:dyDescent="0.2">
      <c r="A23" s="9"/>
      <c r="B23" s="9"/>
      <c r="C23" s="9"/>
      <c r="D23" s="9"/>
      <c r="E23" s="9"/>
      <c r="F23" s="44" t="s">
        <v>330</v>
      </c>
      <c r="G23" s="44"/>
      <c r="H23" s="44"/>
      <c r="I23" s="53">
        <f>I24+I25+I26+I27</f>
        <v>22185.190000000002</v>
      </c>
      <c r="J23" s="46"/>
      <c r="K23" s="9" t="s">
        <v>331</v>
      </c>
    </row>
    <row r="24" spans="1:11" ht="14.25" hidden="1" x14ac:dyDescent="0.2">
      <c r="A24" s="9"/>
      <c r="B24" s="9"/>
      <c r="C24" s="9"/>
      <c r="D24" s="9"/>
      <c r="E24" s="9"/>
      <c r="F24" s="44" t="s">
        <v>332</v>
      </c>
      <c r="G24" s="44"/>
      <c r="H24" s="44"/>
      <c r="I24" s="53">
        <f>ROUND((Source!F281)/1000, 2)</f>
        <v>14027.18</v>
      </c>
      <c r="J24" s="46"/>
      <c r="K24" s="9" t="s">
        <v>331</v>
      </c>
    </row>
    <row r="25" spans="1:11" ht="14.25" hidden="1" x14ac:dyDescent="0.2">
      <c r="A25" s="9"/>
      <c r="B25" s="9"/>
      <c r="C25" s="9"/>
      <c r="D25" s="9"/>
      <c r="E25" s="9"/>
      <c r="F25" s="44" t="s">
        <v>333</v>
      </c>
      <c r="G25" s="44"/>
      <c r="H25" s="44"/>
      <c r="I25" s="53">
        <f>ROUND((Source!F282)/1000, 2)</f>
        <v>0</v>
      </c>
      <c r="J25" s="46"/>
      <c r="K25" s="9" t="s">
        <v>331</v>
      </c>
    </row>
    <row r="26" spans="1:11" ht="14.25" hidden="1" x14ac:dyDescent="0.2">
      <c r="A26" s="9"/>
      <c r="B26" s="9"/>
      <c r="C26" s="9"/>
      <c r="D26" s="9"/>
      <c r="E26" s="9"/>
      <c r="F26" s="44" t="s">
        <v>334</v>
      </c>
      <c r="G26" s="44"/>
      <c r="H26" s="44"/>
      <c r="I26" s="53">
        <f>ROUND((Source!F273)/1000, 2)</f>
        <v>0</v>
      </c>
      <c r="J26" s="46"/>
      <c r="K26" s="9" t="s">
        <v>331</v>
      </c>
    </row>
    <row r="27" spans="1:11" ht="14.25" hidden="1" x14ac:dyDescent="0.2">
      <c r="A27" s="9"/>
      <c r="B27" s="9"/>
      <c r="C27" s="9"/>
      <c r="D27" s="9"/>
      <c r="E27" s="9"/>
      <c r="F27" s="44" t="s">
        <v>335</v>
      </c>
      <c r="G27" s="44"/>
      <c r="H27" s="44"/>
      <c r="I27" s="53">
        <f>ROUND((Source!F283+Source!F284)/1000, 2)</f>
        <v>8158.01</v>
      </c>
      <c r="J27" s="46"/>
      <c r="K27" s="9" t="s">
        <v>331</v>
      </c>
    </row>
    <row r="28" spans="1:11" ht="14.25" x14ac:dyDescent="0.2">
      <c r="A28" s="9"/>
      <c r="B28" s="9"/>
      <c r="C28" s="9"/>
      <c r="D28" s="9"/>
      <c r="E28" s="9"/>
      <c r="F28" s="44" t="s">
        <v>336</v>
      </c>
      <c r="G28" s="44"/>
      <c r="H28" s="44"/>
      <c r="I28" s="53">
        <f>(Source!F279+ Source!F278)/1000</f>
        <v>1061.2053500000002</v>
      </c>
      <c r="J28" s="46"/>
      <c r="K28" s="9" t="s">
        <v>331</v>
      </c>
    </row>
    <row r="29" spans="1:11" ht="14.25" x14ac:dyDescent="0.2">
      <c r="A29" s="9" t="s">
        <v>350</v>
      </c>
      <c r="B29" s="9"/>
      <c r="C29" s="9"/>
      <c r="D29" s="13"/>
      <c r="E29" s="14"/>
      <c r="F29" s="9"/>
      <c r="G29" s="9"/>
      <c r="H29" s="9"/>
      <c r="I29" s="9"/>
      <c r="J29" s="9"/>
      <c r="K29" s="9"/>
    </row>
    <row r="30" spans="1:11" ht="14.25" x14ac:dyDescent="0.2">
      <c r="A30" s="54" t="s">
        <v>337</v>
      </c>
      <c r="B30" s="54" t="s">
        <v>338</v>
      </c>
      <c r="C30" s="54" t="s">
        <v>339</v>
      </c>
      <c r="D30" s="54" t="s">
        <v>340</v>
      </c>
      <c r="E30" s="54" t="s">
        <v>341</v>
      </c>
      <c r="F30" s="54" t="s">
        <v>342</v>
      </c>
      <c r="G30" s="54" t="s">
        <v>343</v>
      </c>
      <c r="H30" s="54" t="s">
        <v>344</v>
      </c>
      <c r="I30" s="54" t="s">
        <v>345</v>
      </c>
      <c r="J30" s="54" t="s">
        <v>346</v>
      </c>
      <c r="K30" s="16" t="s">
        <v>347</v>
      </c>
    </row>
    <row r="31" spans="1:11" ht="28.5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17" t="s">
        <v>348</v>
      </c>
    </row>
    <row r="32" spans="1:11" ht="42.75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17" t="s">
        <v>349</v>
      </c>
    </row>
    <row r="33" spans="1:22" ht="14.25" x14ac:dyDescent="0.2">
      <c r="A33" s="17">
        <v>1</v>
      </c>
      <c r="B33" s="17">
        <v>2</v>
      </c>
      <c r="C33" s="17">
        <v>3</v>
      </c>
      <c r="D33" s="17">
        <v>4</v>
      </c>
      <c r="E33" s="17">
        <v>5</v>
      </c>
      <c r="F33" s="17">
        <v>6</v>
      </c>
      <c r="G33" s="17">
        <v>7</v>
      </c>
      <c r="H33" s="17">
        <v>8</v>
      </c>
      <c r="I33" s="17">
        <v>9</v>
      </c>
      <c r="J33" s="17">
        <v>10</v>
      </c>
      <c r="K33" s="17">
        <v>11</v>
      </c>
    </row>
    <row r="35" spans="1:22" ht="16.5" x14ac:dyDescent="0.25">
      <c r="A35" s="57" t="str">
        <f>CONCATENATE("Локальная смета: ",IF(Source!G20&lt;&gt;"Новая локальная смета", Source!G20, ""))</f>
        <v xml:space="preserve">Локальная смета: 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</row>
    <row r="37" spans="1:22" ht="16.5" x14ac:dyDescent="0.25">
      <c r="A37" s="57" t="str">
        <f>CONCATENATE("Раздел: ",IF(Source!G24&lt;&gt;"Новый раздел", Source!G24, ""))</f>
        <v>Раздел: Электромонтажные работы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</row>
    <row r="38" spans="1:22" ht="71.25" x14ac:dyDescent="0.2">
      <c r="A38" s="18">
        <v>1</v>
      </c>
      <c r="B38" s="18" t="str">
        <f>Source!F28</f>
        <v>1.21-3703-2-3/1</v>
      </c>
      <c r="C38" s="18" t="str">
        <f>Source!G28</f>
        <v>Установка блока управления шкафного исполнения или распределительного пункта (шкафа) высотой и шириной до 600х600 мм на стену (без стоимости материалов)</v>
      </c>
      <c r="D38" s="19" t="str">
        <f>Source!H28</f>
        <v>шт.</v>
      </c>
      <c r="E38" s="8">
        <f>Source!I28</f>
        <v>3</v>
      </c>
      <c r="F38" s="21"/>
      <c r="G38" s="20"/>
      <c r="H38" s="8"/>
      <c r="I38" s="8"/>
      <c r="J38" s="21"/>
      <c r="K38" s="21"/>
      <c r="Q38">
        <f>ROUND((Source!BZ28/100)*ROUND((Source!AF28*Source!AV28)*Source!I28, 2), 2)</f>
        <v>3164.97</v>
      </c>
      <c r="R38">
        <f>Source!X28</f>
        <v>3164.97</v>
      </c>
      <c r="S38">
        <f>ROUND((Source!CA28/100)*ROUND((Source!AF28*Source!AV28)*Source!I28, 2), 2)</f>
        <v>452.14</v>
      </c>
      <c r="T38">
        <f>Source!Y28</f>
        <v>452.14</v>
      </c>
      <c r="U38">
        <f>ROUND((175/100)*ROUND((Source!AE28*Source!AV28)*Source!I28, 2), 2)</f>
        <v>5.88</v>
      </c>
      <c r="V38">
        <f>ROUND((108/100)*ROUND(Source!CS28*Source!I28, 2), 2)</f>
        <v>3.63</v>
      </c>
    </row>
    <row r="39" spans="1:22" ht="14.25" x14ac:dyDescent="0.2">
      <c r="A39" s="18"/>
      <c r="B39" s="18"/>
      <c r="C39" s="18" t="s">
        <v>351</v>
      </c>
      <c r="D39" s="19"/>
      <c r="E39" s="8"/>
      <c r="F39" s="21">
        <f>Source!AO28</f>
        <v>1507.13</v>
      </c>
      <c r="G39" s="20" t="str">
        <f>Source!DG28</f>
        <v/>
      </c>
      <c r="H39" s="8">
        <f>Source!AV28</f>
        <v>1</v>
      </c>
      <c r="I39" s="8">
        <f>IF(Source!BA28&lt;&gt; 0, Source!BA28, 1)</f>
        <v>1</v>
      </c>
      <c r="J39" s="21">
        <f>Source!S28</f>
        <v>4521.3900000000003</v>
      </c>
      <c r="K39" s="21"/>
    </row>
    <row r="40" spans="1:22" ht="14.25" x14ac:dyDescent="0.2">
      <c r="A40" s="18"/>
      <c r="B40" s="18"/>
      <c r="C40" s="18" t="s">
        <v>352</v>
      </c>
      <c r="D40" s="19"/>
      <c r="E40" s="8"/>
      <c r="F40" s="21">
        <f>Source!AM28</f>
        <v>361.88</v>
      </c>
      <c r="G40" s="20" t="str">
        <f>Source!DE28</f>
        <v/>
      </c>
      <c r="H40" s="8">
        <f>Source!AV28</f>
        <v>1</v>
      </c>
      <c r="I40" s="8">
        <f>IF(Source!BB28&lt;&gt; 0, Source!BB28, 1)</f>
        <v>1</v>
      </c>
      <c r="J40" s="21">
        <f>Source!Q28</f>
        <v>1085.6400000000001</v>
      </c>
      <c r="K40" s="21"/>
    </row>
    <row r="41" spans="1:22" ht="14.25" x14ac:dyDescent="0.2">
      <c r="A41" s="18"/>
      <c r="B41" s="18"/>
      <c r="C41" s="18" t="s">
        <v>353</v>
      </c>
      <c r="D41" s="19"/>
      <c r="E41" s="8"/>
      <c r="F41" s="21">
        <f>Source!AN28</f>
        <v>1.1200000000000001</v>
      </c>
      <c r="G41" s="20" t="str">
        <f>Source!DF28</f>
        <v/>
      </c>
      <c r="H41" s="8">
        <f>Source!AV28</f>
        <v>1</v>
      </c>
      <c r="I41" s="8">
        <f>IF(Source!BS28&lt;&gt; 0, Source!BS28, 1)</f>
        <v>1</v>
      </c>
      <c r="J41" s="22">
        <f>Source!R28</f>
        <v>3.36</v>
      </c>
      <c r="K41" s="21"/>
    </row>
    <row r="42" spans="1:22" ht="42.75" x14ac:dyDescent="0.2">
      <c r="A42" s="18" t="s">
        <v>23</v>
      </c>
      <c r="B42" s="18" t="str">
        <f>Source!F29</f>
        <v>Цена поставщика</v>
      </c>
      <c r="C42" s="18" t="s">
        <v>354</v>
      </c>
      <c r="D42" s="19" t="str">
        <f>Source!H29</f>
        <v>шт.</v>
      </c>
      <c r="E42" s="8">
        <f>Source!I29</f>
        <v>3</v>
      </c>
      <c r="F42" s="21">
        <f>Source!AK29</f>
        <v>44980.08</v>
      </c>
      <c r="G42" s="23" t="s">
        <v>3</v>
      </c>
      <c r="H42" s="8">
        <f>Source!AW29</f>
        <v>1</v>
      </c>
      <c r="I42" s="8">
        <f>IF(Source!BC29&lt;&gt; 0, Source!BC29, 1)</f>
        <v>1</v>
      </c>
      <c r="J42" s="21">
        <f>Source!O29</f>
        <v>134940.24</v>
      </c>
      <c r="K42" s="21"/>
      <c r="Q42">
        <f>ROUND((Source!BZ29/100)*ROUND((Source!AF29*Source!AV29)*Source!I29, 2), 2)</f>
        <v>0</v>
      </c>
      <c r="R42">
        <f>Source!X29</f>
        <v>0</v>
      </c>
      <c r="S42">
        <f>ROUND((Source!CA29/100)*ROUND((Source!AF29*Source!AV29)*Source!I29, 2), 2)</f>
        <v>0</v>
      </c>
      <c r="T42">
        <f>Source!Y29</f>
        <v>0</v>
      </c>
      <c r="U42">
        <f>ROUND((175/100)*ROUND((Source!AE29*Source!AV29)*Source!I29, 2), 2)</f>
        <v>0</v>
      </c>
      <c r="V42">
        <f>ROUND((108/100)*ROUND(Source!CS29*Source!I29, 2), 2)</f>
        <v>0</v>
      </c>
    </row>
    <row r="43" spans="1:22" ht="14.25" x14ac:dyDescent="0.2">
      <c r="A43" s="18"/>
      <c r="B43" s="18"/>
      <c r="C43" s="18" t="s">
        <v>355</v>
      </c>
      <c r="D43" s="19" t="s">
        <v>356</v>
      </c>
      <c r="E43" s="8">
        <f>Source!AT28</f>
        <v>70</v>
      </c>
      <c r="F43" s="21"/>
      <c r="G43" s="20"/>
      <c r="H43" s="8"/>
      <c r="I43" s="8"/>
      <c r="J43" s="21">
        <f>SUM(R38:R42)</f>
        <v>3164.97</v>
      </c>
      <c r="K43" s="21"/>
    </row>
    <row r="44" spans="1:22" ht="14.25" x14ac:dyDescent="0.2">
      <c r="A44" s="18"/>
      <c r="B44" s="18"/>
      <c r="C44" s="18" t="s">
        <v>357</v>
      </c>
      <c r="D44" s="19" t="s">
        <v>356</v>
      </c>
      <c r="E44" s="8">
        <f>Source!AU28</f>
        <v>10</v>
      </c>
      <c r="F44" s="21"/>
      <c r="G44" s="20"/>
      <c r="H44" s="8"/>
      <c r="I44" s="8"/>
      <c r="J44" s="21">
        <f>SUM(T38:T43)</f>
        <v>452.14</v>
      </c>
      <c r="K44" s="21"/>
    </row>
    <row r="45" spans="1:22" ht="14.25" x14ac:dyDescent="0.2">
      <c r="A45" s="18"/>
      <c r="B45" s="18"/>
      <c r="C45" s="18" t="s">
        <v>358</v>
      </c>
      <c r="D45" s="19" t="s">
        <v>356</v>
      </c>
      <c r="E45" s="8">
        <f>108</f>
        <v>108</v>
      </c>
      <c r="F45" s="21"/>
      <c r="G45" s="20"/>
      <c r="H45" s="8"/>
      <c r="I45" s="8"/>
      <c r="J45" s="21">
        <f>SUM(V38:V44)</f>
        <v>3.63</v>
      </c>
      <c r="K45" s="21"/>
    </row>
    <row r="46" spans="1:22" ht="14.25" x14ac:dyDescent="0.2">
      <c r="A46" s="18"/>
      <c r="B46" s="18"/>
      <c r="C46" s="18" t="s">
        <v>359</v>
      </c>
      <c r="D46" s="19" t="s">
        <v>360</v>
      </c>
      <c r="E46" s="8">
        <f>Source!AQ28</f>
        <v>2.37</v>
      </c>
      <c r="F46" s="21"/>
      <c r="G46" s="20" t="str">
        <f>Source!DI28</f>
        <v/>
      </c>
      <c r="H46" s="8">
        <f>Source!AV28</f>
        <v>1</v>
      </c>
      <c r="I46" s="8"/>
      <c r="J46" s="21"/>
      <c r="K46" s="21">
        <f>Source!U28</f>
        <v>7.11</v>
      </c>
    </row>
    <row r="47" spans="1:22" ht="15" x14ac:dyDescent="0.25">
      <c r="A47" s="26"/>
      <c r="B47" s="26"/>
      <c r="C47" s="26"/>
      <c r="D47" s="26"/>
      <c r="E47" s="26"/>
      <c r="F47" s="26"/>
      <c r="G47" s="26"/>
      <c r="H47" s="26"/>
      <c r="I47" s="56">
        <f>J39+J40+J43+J44+J45+SUM(J42:J42)</f>
        <v>144168.00999999998</v>
      </c>
      <c r="J47" s="56"/>
      <c r="K47" s="27">
        <f>IF(Source!I28&lt;&gt;0, ROUND(I47/Source!I28, 2), 0)</f>
        <v>48056</v>
      </c>
      <c r="P47" s="24">
        <f>I47</f>
        <v>144168.00999999998</v>
      </c>
    </row>
    <row r="48" spans="1:22" ht="42.75" x14ac:dyDescent="0.2">
      <c r="A48" s="18">
        <v>2</v>
      </c>
      <c r="B48" s="18" t="str">
        <f>Source!F30</f>
        <v>1.23-3303-5-1/1</v>
      </c>
      <c r="C48" s="18" t="str">
        <f>Source!G30</f>
        <v>Установка съемных и выдвижных блоков (модулей, ячеек, ТЭЗ) - масса до 0,005 т</v>
      </c>
      <c r="D48" s="19" t="str">
        <f>Source!H30</f>
        <v>шт.</v>
      </c>
      <c r="E48" s="8">
        <f>Source!I30</f>
        <v>39</v>
      </c>
      <c r="F48" s="21"/>
      <c r="G48" s="20"/>
      <c r="H48" s="8"/>
      <c r="I48" s="8"/>
      <c r="J48" s="21"/>
      <c r="K48" s="21"/>
      <c r="Q48">
        <f>ROUND((Source!BZ30/100)*ROUND((Source!AF30*Source!AV30)*Source!I30, 2), 2)</f>
        <v>16683.849999999999</v>
      </c>
      <c r="R48">
        <f>Source!X30</f>
        <v>16683.849999999999</v>
      </c>
      <c r="S48">
        <f>ROUND((Source!CA30/100)*ROUND((Source!AF30*Source!AV30)*Source!I30, 2), 2)</f>
        <v>2383.41</v>
      </c>
      <c r="T48">
        <f>Source!Y30</f>
        <v>2383.41</v>
      </c>
      <c r="U48">
        <f>ROUND((175/100)*ROUND((Source!AE30*Source!AV30)*Source!I30, 2), 2)</f>
        <v>0</v>
      </c>
      <c r="V48">
        <f>ROUND((108/100)*ROUND(Source!CS30*Source!I30, 2), 2)</f>
        <v>0</v>
      </c>
    </row>
    <row r="49" spans="1:22" ht="14.25" x14ac:dyDescent="0.2">
      <c r="A49" s="18"/>
      <c r="B49" s="18"/>
      <c r="C49" s="18" t="s">
        <v>351</v>
      </c>
      <c r="D49" s="19"/>
      <c r="E49" s="8"/>
      <c r="F49" s="21">
        <f>Source!AO30</f>
        <v>611.13</v>
      </c>
      <c r="G49" s="20" t="str">
        <f>Source!DG30</f>
        <v/>
      </c>
      <c r="H49" s="8">
        <f>Source!AV30</f>
        <v>1</v>
      </c>
      <c r="I49" s="8">
        <f>IF(Source!BA30&lt;&gt; 0, Source!BA30, 1)</f>
        <v>1</v>
      </c>
      <c r="J49" s="21">
        <f>Source!S30</f>
        <v>23834.07</v>
      </c>
      <c r="K49" s="21"/>
    </row>
    <row r="50" spans="1:22" ht="42.75" x14ac:dyDescent="0.2">
      <c r="A50" s="18" t="s">
        <v>32</v>
      </c>
      <c r="B50" s="18" t="str">
        <f>Source!F31</f>
        <v>Цена поставщика</v>
      </c>
      <c r="C50" s="18" t="s">
        <v>361</v>
      </c>
      <c r="D50" s="19" t="str">
        <f>Source!H31</f>
        <v>шт.</v>
      </c>
      <c r="E50" s="8">
        <f>Source!I31</f>
        <v>3</v>
      </c>
      <c r="F50" s="21">
        <f>Source!AK31</f>
        <v>37099.99</v>
      </c>
      <c r="G50" s="23" t="s">
        <v>3</v>
      </c>
      <c r="H50" s="8">
        <f>Source!AW31</f>
        <v>1</v>
      </c>
      <c r="I50" s="8">
        <f>IF(Source!BC31&lt;&gt; 0, Source!BC31, 1)</f>
        <v>1</v>
      </c>
      <c r="J50" s="21">
        <f>Source!O31</f>
        <v>111299.97</v>
      </c>
      <c r="K50" s="21"/>
      <c r="Q50">
        <f>ROUND((Source!BZ31/100)*ROUND((Source!AF31*Source!AV31)*Source!I31, 2), 2)</f>
        <v>0</v>
      </c>
      <c r="R50">
        <f>Source!X31</f>
        <v>0</v>
      </c>
      <c r="S50">
        <f>ROUND((Source!CA31/100)*ROUND((Source!AF31*Source!AV31)*Source!I31, 2), 2)</f>
        <v>0</v>
      </c>
      <c r="T50">
        <f>Source!Y31</f>
        <v>0</v>
      </c>
      <c r="U50">
        <f>ROUND((175/100)*ROUND((Source!AE31*Source!AV31)*Source!I31, 2), 2)</f>
        <v>0</v>
      </c>
      <c r="V50">
        <f>ROUND((108/100)*ROUND(Source!CS31*Source!I31, 2), 2)</f>
        <v>0</v>
      </c>
    </row>
    <row r="51" spans="1:22" ht="42.75" x14ac:dyDescent="0.2">
      <c r="A51" s="18" t="s">
        <v>35</v>
      </c>
      <c r="B51" s="18" t="str">
        <f>Source!F32</f>
        <v>Цена поставщика</v>
      </c>
      <c r="C51" s="18" t="s">
        <v>362</v>
      </c>
      <c r="D51" s="19" t="str">
        <f>Source!H32</f>
        <v>шт.</v>
      </c>
      <c r="E51" s="8">
        <f>Source!I32</f>
        <v>10</v>
      </c>
      <c r="F51" s="21">
        <f>Source!AK32</f>
        <v>6150.6</v>
      </c>
      <c r="G51" s="23" t="s">
        <v>3</v>
      </c>
      <c r="H51" s="8">
        <f>Source!AW32</f>
        <v>1</v>
      </c>
      <c r="I51" s="8">
        <f>IF(Source!BC32&lt;&gt; 0, Source!BC32, 1)</f>
        <v>1</v>
      </c>
      <c r="J51" s="21">
        <f>Source!O32</f>
        <v>61506</v>
      </c>
      <c r="K51" s="21"/>
      <c r="Q51">
        <f>ROUND((Source!BZ32/100)*ROUND((Source!AF32*Source!AV32)*Source!I32, 2), 2)</f>
        <v>0</v>
      </c>
      <c r="R51">
        <f>Source!X32</f>
        <v>0</v>
      </c>
      <c r="S51">
        <f>ROUND((Source!CA32/100)*ROUND((Source!AF32*Source!AV32)*Source!I32, 2), 2)</f>
        <v>0</v>
      </c>
      <c r="T51">
        <f>Source!Y32</f>
        <v>0</v>
      </c>
      <c r="U51">
        <f>ROUND((175/100)*ROUND((Source!AE32*Source!AV32)*Source!I32, 2), 2)</f>
        <v>0</v>
      </c>
      <c r="V51">
        <f>ROUND((108/100)*ROUND(Source!CS32*Source!I32, 2), 2)</f>
        <v>0</v>
      </c>
    </row>
    <row r="52" spans="1:22" ht="42.75" x14ac:dyDescent="0.2">
      <c r="A52" s="18" t="s">
        <v>38</v>
      </c>
      <c r="B52" s="18" t="str">
        <f>Source!F33</f>
        <v>Цена поставщика</v>
      </c>
      <c r="C52" s="18" t="s">
        <v>363</v>
      </c>
      <c r="D52" s="19" t="str">
        <f>Source!H33</f>
        <v>шт.</v>
      </c>
      <c r="E52" s="8">
        <f>Source!I33</f>
        <v>10</v>
      </c>
      <c r="F52" s="21">
        <f>Source!AK33</f>
        <v>10506</v>
      </c>
      <c r="G52" s="23" t="s">
        <v>3</v>
      </c>
      <c r="H52" s="8">
        <f>Source!AW33</f>
        <v>1</v>
      </c>
      <c r="I52" s="8">
        <f>IF(Source!BC33&lt;&gt; 0, Source!BC33, 1)</f>
        <v>1</v>
      </c>
      <c r="J52" s="21">
        <f>Source!O33</f>
        <v>105060</v>
      </c>
      <c r="K52" s="21"/>
      <c r="Q52">
        <f>ROUND((Source!BZ33/100)*ROUND((Source!AF33*Source!AV33)*Source!I33, 2), 2)</f>
        <v>0</v>
      </c>
      <c r="R52">
        <f>Source!X33</f>
        <v>0</v>
      </c>
      <c r="S52">
        <f>ROUND((Source!CA33/100)*ROUND((Source!AF33*Source!AV33)*Source!I33, 2), 2)</f>
        <v>0</v>
      </c>
      <c r="T52">
        <f>Source!Y33</f>
        <v>0</v>
      </c>
      <c r="U52">
        <f>ROUND((175/100)*ROUND((Source!AE33*Source!AV33)*Source!I33, 2), 2)</f>
        <v>0</v>
      </c>
      <c r="V52">
        <f>ROUND((108/100)*ROUND(Source!CS33*Source!I33, 2), 2)</f>
        <v>0</v>
      </c>
    </row>
    <row r="53" spans="1:22" ht="42.75" x14ac:dyDescent="0.2">
      <c r="A53" s="18" t="s">
        <v>41</v>
      </c>
      <c r="B53" s="18" t="str">
        <f>Source!F34</f>
        <v>Цена поставщика</v>
      </c>
      <c r="C53" s="18" t="s">
        <v>364</v>
      </c>
      <c r="D53" s="19" t="str">
        <f>Source!H34</f>
        <v>шт.</v>
      </c>
      <c r="E53" s="8">
        <f>Source!I34</f>
        <v>4</v>
      </c>
      <c r="F53" s="21">
        <f>Source!AK34</f>
        <v>15399.96</v>
      </c>
      <c r="G53" s="23" t="s">
        <v>3</v>
      </c>
      <c r="H53" s="8">
        <f>Source!AW34</f>
        <v>1</v>
      </c>
      <c r="I53" s="8">
        <f>IF(Source!BC34&lt;&gt; 0, Source!BC34, 1)</f>
        <v>1</v>
      </c>
      <c r="J53" s="21">
        <f>Source!O34</f>
        <v>61599.839999999997</v>
      </c>
      <c r="K53" s="21"/>
      <c r="Q53">
        <f>ROUND((Source!BZ34/100)*ROUND((Source!AF34*Source!AV34)*Source!I34, 2), 2)</f>
        <v>0</v>
      </c>
      <c r="R53">
        <f>Source!X34</f>
        <v>0</v>
      </c>
      <c r="S53">
        <f>ROUND((Source!CA34/100)*ROUND((Source!AF34*Source!AV34)*Source!I34, 2), 2)</f>
        <v>0</v>
      </c>
      <c r="T53">
        <f>Source!Y34</f>
        <v>0</v>
      </c>
      <c r="U53">
        <f>ROUND((175/100)*ROUND((Source!AE34*Source!AV34)*Source!I34, 2), 2)</f>
        <v>0</v>
      </c>
      <c r="V53">
        <f>ROUND((108/100)*ROUND(Source!CS34*Source!I34, 2), 2)</f>
        <v>0</v>
      </c>
    </row>
    <row r="54" spans="1:22" ht="42.75" x14ac:dyDescent="0.2">
      <c r="A54" s="18" t="s">
        <v>44</v>
      </c>
      <c r="B54" s="18" t="str">
        <f>Source!F35</f>
        <v>Цена поставщика</v>
      </c>
      <c r="C54" s="18" t="s">
        <v>365</v>
      </c>
      <c r="D54" s="19" t="str">
        <f>Source!H35</f>
        <v>шт.</v>
      </c>
      <c r="E54" s="8">
        <f>Source!I35</f>
        <v>12</v>
      </c>
      <c r="F54" s="21">
        <f>Source!AK35</f>
        <v>7250.04</v>
      </c>
      <c r="G54" s="23" t="s">
        <v>3</v>
      </c>
      <c r="H54" s="8">
        <f>Source!AW35</f>
        <v>1</v>
      </c>
      <c r="I54" s="8">
        <f>IF(Source!BC35&lt;&gt; 0, Source!BC35, 1)</f>
        <v>1</v>
      </c>
      <c r="J54" s="21">
        <f>Source!O35</f>
        <v>87000.48</v>
      </c>
      <c r="K54" s="21"/>
      <c r="Q54">
        <f>ROUND((Source!BZ35/100)*ROUND((Source!AF35*Source!AV35)*Source!I35, 2), 2)</f>
        <v>0</v>
      </c>
      <c r="R54">
        <f>Source!X35</f>
        <v>0</v>
      </c>
      <c r="S54">
        <f>ROUND((Source!CA35/100)*ROUND((Source!AF35*Source!AV35)*Source!I35, 2), 2)</f>
        <v>0</v>
      </c>
      <c r="T54">
        <f>Source!Y35</f>
        <v>0</v>
      </c>
      <c r="U54">
        <f>ROUND((175/100)*ROUND((Source!AE35*Source!AV35)*Source!I35, 2), 2)</f>
        <v>0</v>
      </c>
      <c r="V54">
        <f>ROUND((108/100)*ROUND(Source!CS35*Source!I35, 2), 2)</f>
        <v>0</v>
      </c>
    </row>
    <row r="55" spans="1:22" ht="14.25" x14ac:dyDescent="0.2">
      <c r="A55" s="18"/>
      <c r="B55" s="18"/>
      <c r="C55" s="18" t="s">
        <v>355</v>
      </c>
      <c r="D55" s="19" t="s">
        <v>356</v>
      </c>
      <c r="E55" s="8">
        <f>Source!AT30</f>
        <v>70</v>
      </c>
      <c r="F55" s="21"/>
      <c r="G55" s="20"/>
      <c r="H55" s="8"/>
      <c r="I55" s="8"/>
      <c r="J55" s="21">
        <f>SUM(R48:R54)</f>
        <v>16683.849999999999</v>
      </c>
      <c r="K55" s="21"/>
    </row>
    <row r="56" spans="1:22" ht="14.25" x14ac:dyDescent="0.2">
      <c r="A56" s="18"/>
      <c r="B56" s="18"/>
      <c r="C56" s="18" t="s">
        <v>357</v>
      </c>
      <c r="D56" s="19" t="s">
        <v>356</v>
      </c>
      <c r="E56" s="8">
        <f>Source!AU30</f>
        <v>10</v>
      </c>
      <c r="F56" s="21"/>
      <c r="G56" s="20"/>
      <c r="H56" s="8"/>
      <c r="I56" s="8"/>
      <c r="J56" s="21">
        <f>SUM(T48:T55)</f>
        <v>2383.41</v>
      </c>
      <c r="K56" s="21"/>
    </row>
    <row r="57" spans="1:22" ht="14.25" x14ac:dyDescent="0.2">
      <c r="A57" s="18"/>
      <c r="B57" s="18"/>
      <c r="C57" s="18" t="s">
        <v>359</v>
      </c>
      <c r="D57" s="19" t="s">
        <v>360</v>
      </c>
      <c r="E57" s="8">
        <f>Source!AQ30</f>
        <v>1.18</v>
      </c>
      <c r="F57" s="21"/>
      <c r="G57" s="20" t="str">
        <f>Source!DI30</f>
        <v/>
      </c>
      <c r="H57" s="8">
        <f>Source!AV30</f>
        <v>1</v>
      </c>
      <c r="I57" s="8"/>
      <c r="J57" s="21"/>
      <c r="K57" s="21">
        <f>Source!U30</f>
        <v>46.019999999999996</v>
      </c>
    </row>
    <row r="58" spans="1:22" ht="15" x14ac:dyDescent="0.25">
      <c r="A58" s="26"/>
      <c r="B58" s="26"/>
      <c r="C58" s="26"/>
      <c r="D58" s="26"/>
      <c r="E58" s="26"/>
      <c r="F58" s="26"/>
      <c r="G58" s="26"/>
      <c r="H58" s="26"/>
      <c r="I58" s="56">
        <f>J49+J55+J56+SUM(J50:J54)</f>
        <v>469367.61999999994</v>
      </c>
      <c r="J58" s="56"/>
      <c r="K58" s="27">
        <f>IF(Source!I30&lt;&gt;0, ROUND(I58/Source!I30, 2), 0)</f>
        <v>12035.07</v>
      </c>
      <c r="P58" s="24">
        <f>I58</f>
        <v>469367.61999999994</v>
      </c>
    </row>
    <row r="59" spans="1:22" ht="28.5" x14ac:dyDescent="0.2">
      <c r="A59" s="18">
        <v>3</v>
      </c>
      <c r="B59" s="18" t="str">
        <f>Source!F36</f>
        <v>1.21-3103-7-2/1</v>
      </c>
      <c r="C59" s="18" t="str">
        <f>Source!G36</f>
        <v>Прокладка проводов и кабелей в лотках, провод сечением до 35 мм2</v>
      </c>
      <c r="D59" s="19" t="str">
        <f>Source!H36</f>
        <v>100 м</v>
      </c>
      <c r="E59" s="8">
        <f>Source!I36</f>
        <v>24</v>
      </c>
      <c r="F59" s="21"/>
      <c r="G59" s="20"/>
      <c r="H59" s="8"/>
      <c r="I59" s="8"/>
      <c r="J59" s="21"/>
      <c r="K59" s="21"/>
      <c r="Q59">
        <f>ROUND((Source!BZ36/100)*ROUND((Source!AF36*Source!AV36)*Source!I36, 2), 2)</f>
        <v>23704.799999999999</v>
      </c>
      <c r="R59">
        <f>Source!X36</f>
        <v>23704.799999999999</v>
      </c>
      <c r="S59">
        <f>ROUND((Source!CA36/100)*ROUND((Source!AF36*Source!AV36)*Source!I36, 2), 2)</f>
        <v>3386.4</v>
      </c>
      <c r="T59">
        <f>Source!Y36</f>
        <v>3386.4</v>
      </c>
      <c r="U59">
        <f>ROUND((175/100)*ROUND((Source!AE36*Source!AV36)*Source!I36, 2), 2)</f>
        <v>27087.9</v>
      </c>
      <c r="V59">
        <f>ROUND((108/100)*ROUND(Source!CS36*Source!I36, 2), 2)</f>
        <v>16717.099999999999</v>
      </c>
    </row>
    <row r="60" spans="1:22" x14ac:dyDescent="0.2">
      <c r="C60" s="28" t="str">
        <f>"Объем: "&amp;Source!I36&amp;"=2400/"&amp;"100"</f>
        <v>Объем: 24=2400/100</v>
      </c>
    </row>
    <row r="61" spans="1:22" ht="14.25" x14ac:dyDescent="0.2">
      <c r="A61" s="18"/>
      <c r="B61" s="18"/>
      <c r="C61" s="18" t="s">
        <v>351</v>
      </c>
      <c r="D61" s="19"/>
      <c r="E61" s="8"/>
      <c r="F61" s="21">
        <f>Source!AO36</f>
        <v>1411</v>
      </c>
      <c r="G61" s="20" t="str">
        <f>Source!DG36</f>
        <v/>
      </c>
      <c r="H61" s="8">
        <f>Source!AV36</f>
        <v>1</v>
      </c>
      <c r="I61" s="8">
        <f>IF(Source!BA36&lt;&gt; 0, Source!BA36, 1)</f>
        <v>1</v>
      </c>
      <c r="J61" s="21">
        <f>Source!S36</f>
        <v>33864</v>
      </c>
      <c r="K61" s="21"/>
    </row>
    <row r="62" spans="1:22" ht="14.25" x14ac:dyDescent="0.2">
      <c r="A62" s="18"/>
      <c r="B62" s="18"/>
      <c r="C62" s="18" t="s">
        <v>352</v>
      </c>
      <c r="D62" s="19"/>
      <c r="E62" s="8"/>
      <c r="F62" s="21">
        <f>Source!AM36</f>
        <v>1276.53</v>
      </c>
      <c r="G62" s="20" t="str">
        <f>Source!DE36</f>
        <v/>
      </c>
      <c r="H62" s="8">
        <f>Source!AV36</f>
        <v>1</v>
      </c>
      <c r="I62" s="8">
        <f>IF(Source!BB36&lt;&gt; 0, Source!BB36, 1)</f>
        <v>1</v>
      </c>
      <c r="J62" s="21">
        <f>Source!Q36</f>
        <v>30636.720000000001</v>
      </c>
      <c r="K62" s="21"/>
    </row>
    <row r="63" spans="1:22" ht="14.25" x14ac:dyDescent="0.2">
      <c r="A63" s="18"/>
      <c r="B63" s="18"/>
      <c r="C63" s="18" t="s">
        <v>353</v>
      </c>
      <c r="D63" s="19"/>
      <c r="E63" s="8"/>
      <c r="F63" s="21">
        <f>Source!AN36</f>
        <v>644.95000000000005</v>
      </c>
      <c r="G63" s="20" t="str">
        <f>Source!DF36</f>
        <v/>
      </c>
      <c r="H63" s="8">
        <f>Source!AV36</f>
        <v>1</v>
      </c>
      <c r="I63" s="8">
        <f>IF(Source!BS36&lt;&gt; 0, Source!BS36, 1)</f>
        <v>1</v>
      </c>
      <c r="J63" s="22">
        <f>Source!R36</f>
        <v>15478.8</v>
      </c>
      <c r="K63" s="21"/>
    </row>
    <row r="64" spans="1:22" ht="14.25" x14ac:dyDescent="0.2">
      <c r="A64" s="18"/>
      <c r="B64" s="18"/>
      <c r="C64" s="18" t="s">
        <v>366</v>
      </c>
      <c r="D64" s="19"/>
      <c r="E64" s="8"/>
      <c r="F64" s="21">
        <f>Source!AL36</f>
        <v>17714.03</v>
      </c>
      <c r="G64" s="20" t="str">
        <f>Source!DD36</f>
        <v/>
      </c>
      <c r="H64" s="8">
        <f>Source!AW36</f>
        <v>1</v>
      </c>
      <c r="I64" s="8">
        <f>IF(Source!BC36&lt;&gt; 0, Source!BC36, 1)</f>
        <v>1</v>
      </c>
      <c r="J64" s="21">
        <f>Source!P36</f>
        <v>425136.72</v>
      </c>
      <c r="K64" s="21"/>
    </row>
    <row r="65" spans="1:22" ht="57" x14ac:dyDescent="0.2">
      <c r="A65" s="18" t="s">
        <v>52</v>
      </c>
      <c r="B65" s="18" t="str">
        <f>Source!F37</f>
        <v>21.23-13-15</v>
      </c>
      <c r="C65" s="18" t="str">
        <f>Source!G37</f>
        <v>Провода силовые с медными жилами в поливинилхлоридной изоляции, марка ПуГВ, номинальное напряжение до 450 В, число жил и сечение 1х10 мм2</v>
      </c>
      <c r="D65" s="19" t="str">
        <f>Source!H37</f>
        <v>км</v>
      </c>
      <c r="E65" s="8">
        <f>Source!I37</f>
        <v>-2.472</v>
      </c>
      <c r="F65" s="21">
        <f>Source!AK37</f>
        <v>167820.34</v>
      </c>
      <c r="G65" s="23" t="s">
        <v>3</v>
      </c>
      <c r="H65" s="8">
        <f>Source!AW37</f>
        <v>1</v>
      </c>
      <c r="I65" s="8">
        <f>IF(Source!BC37&lt;&gt; 0, Source!BC37, 1)</f>
        <v>1</v>
      </c>
      <c r="J65" s="21">
        <f>Source!O37</f>
        <v>-414851.88</v>
      </c>
      <c r="K65" s="21"/>
      <c r="Q65">
        <f>ROUND((Source!BZ37/100)*ROUND((Source!AF37*Source!AV37)*Source!I37, 2), 2)</f>
        <v>0</v>
      </c>
      <c r="R65">
        <f>Source!X37</f>
        <v>0</v>
      </c>
      <c r="S65">
        <f>ROUND((Source!CA37/100)*ROUND((Source!AF37*Source!AV37)*Source!I37, 2), 2)</f>
        <v>0</v>
      </c>
      <c r="T65">
        <f>Source!Y37</f>
        <v>0</v>
      </c>
      <c r="U65">
        <f>ROUND((175/100)*ROUND((Source!AE37*Source!AV37)*Source!I37, 2), 2)</f>
        <v>0</v>
      </c>
      <c r="V65">
        <f>ROUND((108/100)*ROUND(Source!CS37*Source!I37, 2), 2)</f>
        <v>0</v>
      </c>
    </row>
    <row r="66" spans="1:22" ht="42.75" x14ac:dyDescent="0.2">
      <c r="A66" s="18" t="s">
        <v>57</v>
      </c>
      <c r="B66" s="18" t="str">
        <f>Source!F38</f>
        <v>Цена поставщика</v>
      </c>
      <c r="C66" s="18" t="s">
        <v>367</v>
      </c>
      <c r="D66" s="19" t="str">
        <f>Source!H38</f>
        <v>м.п.</v>
      </c>
      <c r="E66" s="8">
        <f>Source!I38</f>
        <v>2400</v>
      </c>
      <c r="F66" s="21">
        <f>Source!AK38</f>
        <v>58.7</v>
      </c>
      <c r="G66" s="23" t="s">
        <v>3</v>
      </c>
      <c r="H66" s="8">
        <f>Source!AW38</f>
        <v>1</v>
      </c>
      <c r="I66" s="8">
        <f>IF(Source!BC38&lt;&gt; 0, Source!BC38, 1)</f>
        <v>1</v>
      </c>
      <c r="J66" s="21">
        <f>Source!O38</f>
        <v>140880</v>
      </c>
      <c r="K66" s="21"/>
      <c r="Q66">
        <f>ROUND((Source!BZ38/100)*ROUND((Source!AF38*Source!AV38)*Source!I38, 2), 2)</f>
        <v>0</v>
      </c>
      <c r="R66">
        <f>Source!X38</f>
        <v>0</v>
      </c>
      <c r="S66">
        <f>ROUND((Source!CA38/100)*ROUND((Source!AF38*Source!AV38)*Source!I38, 2), 2)</f>
        <v>0</v>
      </c>
      <c r="T66">
        <f>Source!Y38</f>
        <v>0</v>
      </c>
      <c r="U66">
        <f>ROUND((175/100)*ROUND((Source!AE38*Source!AV38)*Source!I38, 2), 2)</f>
        <v>0</v>
      </c>
      <c r="V66">
        <f>ROUND((108/100)*ROUND(Source!CS38*Source!I38, 2), 2)</f>
        <v>0</v>
      </c>
    </row>
    <row r="67" spans="1:22" ht="14.25" x14ac:dyDescent="0.2">
      <c r="A67" s="18"/>
      <c r="B67" s="18"/>
      <c r="C67" s="18" t="s">
        <v>355</v>
      </c>
      <c r="D67" s="19" t="s">
        <v>356</v>
      </c>
      <c r="E67" s="8">
        <f>Source!AT36</f>
        <v>70</v>
      </c>
      <c r="F67" s="21"/>
      <c r="G67" s="20"/>
      <c r="H67" s="8"/>
      <c r="I67" s="8"/>
      <c r="J67" s="21">
        <f>SUM(R59:R66)</f>
        <v>23704.799999999999</v>
      </c>
      <c r="K67" s="21"/>
    </row>
    <row r="68" spans="1:22" ht="14.25" x14ac:dyDescent="0.2">
      <c r="A68" s="18"/>
      <c r="B68" s="18"/>
      <c r="C68" s="18" t="s">
        <v>357</v>
      </c>
      <c r="D68" s="19" t="s">
        <v>356</v>
      </c>
      <c r="E68" s="8">
        <f>Source!AU36</f>
        <v>10</v>
      </c>
      <c r="F68" s="21"/>
      <c r="G68" s="20"/>
      <c r="H68" s="8"/>
      <c r="I68" s="8"/>
      <c r="J68" s="21">
        <f>SUM(T59:T67)</f>
        <v>3386.4</v>
      </c>
      <c r="K68" s="21"/>
    </row>
    <row r="69" spans="1:22" ht="14.25" x14ac:dyDescent="0.2">
      <c r="A69" s="18"/>
      <c r="B69" s="18"/>
      <c r="C69" s="18" t="s">
        <v>358</v>
      </c>
      <c r="D69" s="19" t="s">
        <v>356</v>
      </c>
      <c r="E69" s="8">
        <f>108</f>
        <v>108</v>
      </c>
      <c r="F69" s="21"/>
      <c r="G69" s="20"/>
      <c r="H69" s="8"/>
      <c r="I69" s="8"/>
      <c r="J69" s="21">
        <f>SUM(V59:V68)</f>
        <v>16717.099999999999</v>
      </c>
      <c r="K69" s="21"/>
    </row>
    <row r="70" spans="1:22" ht="14.25" x14ac:dyDescent="0.2">
      <c r="A70" s="18"/>
      <c r="B70" s="18"/>
      <c r="C70" s="18" t="s">
        <v>359</v>
      </c>
      <c r="D70" s="19" t="s">
        <v>360</v>
      </c>
      <c r="E70" s="8">
        <f>Source!AQ36</f>
        <v>2.37</v>
      </c>
      <c r="F70" s="21"/>
      <c r="G70" s="20" t="str">
        <f>Source!DI36</f>
        <v/>
      </c>
      <c r="H70" s="8">
        <f>Source!AV36</f>
        <v>1</v>
      </c>
      <c r="I70" s="8"/>
      <c r="J70" s="21"/>
      <c r="K70" s="21">
        <f>Source!U36</f>
        <v>56.88</v>
      </c>
    </row>
    <row r="71" spans="1:22" ht="15" x14ac:dyDescent="0.25">
      <c r="A71" s="26"/>
      <c r="B71" s="26"/>
      <c r="C71" s="26"/>
      <c r="D71" s="26"/>
      <c r="E71" s="26"/>
      <c r="F71" s="26"/>
      <c r="G71" s="26"/>
      <c r="H71" s="26"/>
      <c r="I71" s="56">
        <f>J61+J62+J64+J67+J68+J69+SUM(J65:J66)</f>
        <v>259473.86</v>
      </c>
      <c r="J71" s="56"/>
      <c r="K71" s="27">
        <f>IF(Source!I36&lt;&gt;0, ROUND(I71/Source!I36, 2), 0)</f>
        <v>10811.41</v>
      </c>
      <c r="P71" s="24">
        <f>I71</f>
        <v>259473.86</v>
      </c>
    </row>
    <row r="72" spans="1:22" ht="71.25" x14ac:dyDescent="0.2">
      <c r="A72" s="18">
        <v>4</v>
      </c>
      <c r="B72" s="18" t="str">
        <f>Source!F39</f>
        <v>1.21-3103-33-2/1</v>
      </c>
      <c r="C72" s="18" t="str">
        <f>Source!G39</f>
        <v>Прокладка труб гофрированных поливинилхлоридных наружным диаметром 20 мм открыто по стенам и потолкам с установкой соединительных коробок</v>
      </c>
      <c r="D72" s="19" t="str">
        <f>Source!H39</f>
        <v>100 м</v>
      </c>
      <c r="E72" s="8">
        <f>Source!I39</f>
        <v>32</v>
      </c>
      <c r="F72" s="21"/>
      <c r="G72" s="20"/>
      <c r="H72" s="8"/>
      <c r="I72" s="8"/>
      <c r="J72" s="21"/>
      <c r="K72" s="21"/>
      <c r="Q72">
        <f>ROUND((Source!BZ39/100)*ROUND((Source!AF39*Source!AV39)*Source!I39, 2), 2)</f>
        <v>235890.37</v>
      </c>
      <c r="R72">
        <f>Source!X39</f>
        <v>235890.37</v>
      </c>
      <c r="S72">
        <f>ROUND((Source!CA39/100)*ROUND((Source!AF39*Source!AV39)*Source!I39, 2), 2)</f>
        <v>33698.620000000003</v>
      </c>
      <c r="T72">
        <f>Source!Y39</f>
        <v>33698.620000000003</v>
      </c>
      <c r="U72">
        <f>ROUND((175/100)*ROUND((Source!AE39*Source!AV39)*Source!I39, 2), 2)</f>
        <v>33.04</v>
      </c>
      <c r="V72">
        <f>ROUND((108/100)*ROUND(Source!CS39*Source!I39, 2), 2)</f>
        <v>20.39</v>
      </c>
    </row>
    <row r="73" spans="1:22" x14ac:dyDescent="0.2">
      <c r="C73" s="28" t="str">
        <f>"Объем: "&amp;Source!I39&amp;"=3200/"&amp;"100"</f>
        <v>Объем: 32=3200/100</v>
      </c>
    </row>
    <row r="74" spans="1:22" ht="14.25" x14ac:dyDescent="0.2">
      <c r="A74" s="18"/>
      <c r="B74" s="18"/>
      <c r="C74" s="18" t="s">
        <v>351</v>
      </c>
      <c r="D74" s="19"/>
      <c r="E74" s="8"/>
      <c r="F74" s="21">
        <f>Source!AO39</f>
        <v>10530.82</v>
      </c>
      <c r="G74" s="20" t="str">
        <f>Source!DG39</f>
        <v/>
      </c>
      <c r="H74" s="8">
        <f>Source!AV39</f>
        <v>1</v>
      </c>
      <c r="I74" s="8">
        <f>IF(Source!BA39&lt;&gt; 0, Source!BA39, 1)</f>
        <v>1</v>
      </c>
      <c r="J74" s="21">
        <f>Source!S39</f>
        <v>336986.24</v>
      </c>
      <c r="K74" s="21"/>
    </row>
    <row r="75" spans="1:22" ht="14.25" x14ac:dyDescent="0.2">
      <c r="A75" s="18"/>
      <c r="B75" s="18"/>
      <c r="C75" s="18" t="s">
        <v>352</v>
      </c>
      <c r="D75" s="19"/>
      <c r="E75" s="8"/>
      <c r="F75" s="21">
        <f>Source!AM39</f>
        <v>52.65</v>
      </c>
      <c r="G75" s="20" t="str">
        <f>Source!DE39</f>
        <v/>
      </c>
      <c r="H75" s="8">
        <f>Source!AV39</f>
        <v>1</v>
      </c>
      <c r="I75" s="8">
        <f>IF(Source!BB39&lt;&gt; 0, Source!BB39, 1)</f>
        <v>1</v>
      </c>
      <c r="J75" s="21">
        <f>Source!Q39</f>
        <v>1684.8</v>
      </c>
      <c r="K75" s="21"/>
    </row>
    <row r="76" spans="1:22" ht="14.25" x14ac:dyDescent="0.2">
      <c r="A76" s="18"/>
      <c r="B76" s="18"/>
      <c r="C76" s="18" t="s">
        <v>353</v>
      </c>
      <c r="D76" s="19"/>
      <c r="E76" s="8"/>
      <c r="F76" s="21">
        <f>Source!AN39</f>
        <v>0.59</v>
      </c>
      <c r="G76" s="20" t="str">
        <f>Source!DF39</f>
        <v/>
      </c>
      <c r="H76" s="8">
        <f>Source!AV39</f>
        <v>1</v>
      </c>
      <c r="I76" s="8">
        <f>IF(Source!BS39&lt;&gt; 0, Source!BS39, 1)</f>
        <v>1</v>
      </c>
      <c r="J76" s="22">
        <f>Source!R39</f>
        <v>18.88</v>
      </c>
      <c r="K76" s="21"/>
    </row>
    <row r="77" spans="1:22" ht="14.25" x14ac:dyDescent="0.2">
      <c r="A77" s="18"/>
      <c r="B77" s="18"/>
      <c r="C77" s="18" t="s">
        <v>366</v>
      </c>
      <c r="D77" s="19"/>
      <c r="E77" s="8"/>
      <c r="F77" s="21">
        <f>Source!AL39</f>
        <v>3814.71</v>
      </c>
      <c r="G77" s="20" t="str">
        <f>Source!DD39</f>
        <v/>
      </c>
      <c r="H77" s="8">
        <f>Source!AW39</f>
        <v>1</v>
      </c>
      <c r="I77" s="8">
        <f>IF(Source!BC39&lt;&gt; 0, Source!BC39, 1)</f>
        <v>1</v>
      </c>
      <c r="J77" s="21">
        <f>Source!P39</f>
        <v>122070.72</v>
      </c>
      <c r="K77" s="21"/>
    </row>
    <row r="78" spans="1:22" ht="85.5" x14ac:dyDescent="0.2">
      <c r="A78" s="18" t="s">
        <v>65</v>
      </c>
      <c r="B78" s="18" t="str">
        <f>Source!F40</f>
        <v>21.21-5-86</v>
      </c>
      <c r="C78" s="18" t="str">
        <f>Source!G40</f>
        <v>Коробки клеммные для присоединения проводов к бытовым электроплитам, напряжение 380 В, сила тока 40 А, степень защиты IP44, с монтажными пластинами и распорными лапками, тип КлК-5С</v>
      </c>
      <c r="D78" s="19" t="str">
        <f>Source!H40</f>
        <v>шт.</v>
      </c>
      <c r="E78" s="8">
        <f>Source!I40</f>
        <v>900</v>
      </c>
      <c r="F78" s="21">
        <f>Source!AK40</f>
        <v>471.57</v>
      </c>
      <c r="G78" s="23" t="s">
        <v>3</v>
      </c>
      <c r="H78" s="8">
        <f>Source!AW40</f>
        <v>1</v>
      </c>
      <c r="I78" s="8">
        <f>IF(Source!BC40&lt;&gt; 0, Source!BC40, 1)</f>
        <v>1</v>
      </c>
      <c r="J78" s="21">
        <f>Source!O40</f>
        <v>424413</v>
      </c>
      <c r="K78" s="21"/>
      <c r="Q78">
        <f>ROUND((Source!BZ40/100)*ROUND((Source!AF40*Source!AV40)*Source!I40, 2), 2)</f>
        <v>0</v>
      </c>
      <c r="R78">
        <f>Source!X40</f>
        <v>0</v>
      </c>
      <c r="S78">
        <f>ROUND((Source!CA40/100)*ROUND((Source!AF40*Source!AV40)*Source!I40, 2), 2)</f>
        <v>0</v>
      </c>
      <c r="T78">
        <f>Source!Y40</f>
        <v>0</v>
      </c>
      <c r="U78">
        <f>ROUND((175/100)*ROUND((Source!AE40*Source!AV40)*Source!I40, 2), 2)</f>
        <v>0</v>
      </c>
      <c r="V78">
        <f>ROUND((108/100)*ROUND(Source!CS40*Source!I40, 2), 2)</f>
        <v>0</v>
      </c>
    </row>
    <row r="79" spans="1:22" ht="71.25" x14ac:dyDescent="0.2">
      <c r="A79" s="18" t="s">
        <v>69</v>
      </c>
      <c r="B79" s="18" t="str">
        <f>Source!F41</f>
        <v>21.21-5-61</v>
      </c>
      <c r="C79" s="18" t="str">
        <f>Source!G41</f>
        <v>Коробки для выполнения соединений и ответвлений электрических кабелей и проводов сечением до 4 мм2, прокладываемых в неметаллических трубах, тип КОР-73 УЗ</v>
      </c>
      <c r="D79" s="19" t="str">
        <f>Source!H41</f>
        <v>шт.</v>
      </c>
      <c r="E79" s="8">
        <f>Source!I41</f>
        <v>-160</v>
      </c>
      <c r="F79" s="21">
        <f>Source!AK41</f>
        <v>57.31</v>
      </c>
      <c r="G79" s="23" t="s">
        <v>3</v>
      </c>
      <c r="H79" s="8">
        <f>Source!AW41</f>
        <v>1</v>
      </c>
      <c r="I79" s="8">
        <f>IF(Source!BC41&lt;&gt; 0, Source!BC41, 1)</f>
        <v>1</v>
      </c>
      <c r="J79" s="21">
        <f>Source!O41</f>
        <v>-9169.6</v>
      </c>
      <c r="K79" s="21"/>
      <c r="Q79">
        <f>ROUND((Source!BZ41/100)*ROUND((Source!AF41*Source!AV41)*Source!I41, 2), 2)</f>
        <v>0</v>
      </c>
      <c r="R79">
        <f>Source!X41</f>
        <v>0</v>
      </c>
      <c r="S79">
        <f>ROUND((Source!CA41/100)*ROUND((Source!AF41*Source!AV41)*Source!I41, 2), 2)</f>
        <v>0</v>
      </c>
      <c r="T79">
        <f>Source!Y41</f>
        <v>0</v>
      </c>
      <c r="U79">
        <f>ROUND((175/100)*ROUND((Source!AE41*Source!AV41)*Source!I41, 2), 2)</f>
        <v>0</v>
      </c>
      <c r="V79">
        <f>ROUND((108/100)*ROUND(Source!CS41*Source!I41, 2), 2)</f>
        <v>0</v>
      </c>
    </row>
    <row r="80" spans="1:22" ht="14.25" x14ac:dyDescent="0.2">
      <c r="A80" s="18"/>
      <c r="B80" s="18"/>
      <c r="C80" s="18" t="s">
        <v>355</v>
      </c>
      <c r="D80" s="19" t="s">
        <v>356</v>
      </c>
      <c r="E80" s="8">
        <f>Source!AT39</f>
        <v>70</v>
      </c>
      <c r="F80" s="21"/>
      <c r="G80" s="20"/>
      <c r="H80" s="8"/>
      <c r="I80" s="8"/>
      <c r="J80" s="21">
        <f>SUM(R72:R79)</f>
        <v>235890.37</v>
      </c>
      <c r="K80" s="21"/>
    </row>
    <row r="81" spans="1:22" ht="14.25" x14ac:dyDescent="0.2">
      <c r="A81" s="18"/>
      <c r="B81" s="18"/>
      <c r="C81" s="18" t="s">
        <v>357</v>
      </c>
      <c r="D81" s="19" t="s">
        <v>356</v>
      </c>
      <c r="E81" s="8">
        <f>Source!AU39</f>
        <v>10</v>
      </c>
      <c r="F81" s="21"/>
      <c r="G81" s="20"/>
      <c r="H81" s="8"/>
      <c r="I81" s="8"/>
      <c r="J81" s="21">
        <f>SUM(T72:T80)</f>
        <v>33698.620000000003</v>
      </c>
      <c r="K81" s="21"/>
    </row>
    <row r="82" spans="1:22" ht="14.25" x14ac:dyDescent="0.2">
      <c r="A82" s="18"/>
      <c r="B82" s="18"/>
      <c r="C82" s="18" t="s">
        <v>358</v>
      </c>
      <c r="D82" s="19" t="s">
        <v>356</v>
      </c>
      <c r="E82" s="8">
        <f>108</f>
        <v>108</v>
      </c>
      <c r="F82" s="21"/>
      <c r="G82" s="20"/>
      <c r="H82" s="8"/>
      <c r="I82" s="8"/>
      <c r="J82" s="21">
        <f>SUM(V72:V81)</f>
        <v>20.39</v>
      </c>
      <c r="K82" s="21"/>
    </row>
    <row r="83" spans="1:22" ht="14.25" x14ac:dyDescent="0.2">
      <c r="A83" s="18"/>
      <c r="B83" s="18"/>
      <c r="C83" s="18" t="s">
        <v>359</v>
      </c>
      <c r="D83" s="19" t="s">
        <v>360</v>
      </c>
      <c r="E83" s="8">
        <f>Source!AQ39</f>
        <v>17.260000000000002</v>
      </c>
      <c r="F83" s="21"/>
      <c r="G83" s="20" t="str">
        <f>Source!DI39</f>
        <v/>
      </c>
      <c r="H83" s="8">
        <f>Source!AV39</f>
        <v>1</v>
      </c>
      <c r="I83" s="8"/>
      <c r="J83" s="21"/>
      <c r="K83" s="21">
        <f>Source!U39</f>
        <v>552.32000000000005</v>
      </c>
    </row>
    <row r="84" spans="1:22" ht="15" x14ac:dyDescent="0.25">
      <c r="A84" s="26"/>
      <c r="B84" s="26"/>
      <c r="C84" s="26"/>
      <c r="D84" s="26"/>
      <c r="E84" s="26"/>
      <c r="F84" s="26"/>
      <c r="G84" s="26"/>
      <c r="H84" s="26"/>
      <c r="I84" s="56">
        <f>J74+J75+J77+J80+J81+J82+SUM(J78:J79)</f>
        <v>1145594.54</v>
      </c>
      <c r="J84" s="56"/>
      <c r="K84" s="27">
        <f>IF(Source!I39&lt;&gt;0, ROUND(I84/Source!I39, 2), 0)</f>
        <v>35799.83</v>
      </c>
      <c r="P84" s="24">
        <f>I84</f>
        <v>1145594.54</v>
      </c>
    </row>
    <row r="85" spans="1:22" ht="85.5" x14ac:dyDescent="0.2">
      <c r="A85" s="18">
        <v>5</v>
      </c>
      <c r="B85" s="18" t="str">
        <f>Source!F42</f>
        <v>1.21-3103-21-3/1</v>
      </c>
      <c r="C85" s="18" t="str">
        <f>Source!G42</f>
        <v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16 мм2 (без стоимости материалов)</v>
      </c>
      <c r="D85" s="19" t="str">
        <f>Source!H42</f>
        <v>100 м</v>
      </c>
      <c r="E85" s="8">
        <f>Source!I42</f>
        <v>8</v>
      </c>
      <c r="F85" s="21"/>
      <c r="G85" s="20"/>
      <c r="H85" s="8"/>
      <c r="I85" s="8"/>
      <c r="J85" s="21"/>
      <c r="K85" s="21"/>
      <c r="Q85">
        <f>ROUND((Source!BZ42/100)*ROUND((Source!AF42*Source!AV42)*Source!I42, 2), 2)</f>
        <v>27638.97</v>
      </c>
      <c r="R85">
        <f>Source!X42</f>
        <v>27638.97</v>
      </c>
      <c r="S85">
        <f>ROUND((Source!CA42/100)*ROUND((Source!AF42*Source!AV42)*Source!I42, 2), 2)</f>
        <v>3948.42</v>
      </c>
      <c r="T85">
        <f>Source!Y42</f>
        <v>3948.42</v>
      </c>
      <c r="U85">
        <f>ROUND((175/100)*ROUND((Source!AE42*Source!AV42)*Source!I42, 2), 2)</f>
        <v>0</v>
      </c>
      <c r="V85">
        <f>ROUND((108/100)*ROUND(Source!CS42*Source!I42, 2), 2)</f>
        <v>0</v>
      </c>
    </row>
    <row r="86" spans="1:22" x14ac:dyDescent="0.2">
      <c r="C86" s="28" t="str">
        <f>"Объем: "&amp;Source!I42&amp;"=800/"&amp;"100"</f>
        <v>Объем: 8=800/100</v>
      </c>
    </row>
    <row r="87" spans="1:22" ht="14.25" x14ac:dyDescent="0.2">
      <c r="A87" s="18"/>
      <c r="B87" s="18"/>
      <c r="C87" s="18" t="s">
        <v>351</v>
      </c>
      <c r="D87" s="19"/>
      <c r="E87" s="8"/>
      <c r="F87" s="21">
        <f>Source!AO42</f>
        <v>4935.53</v>
      </c>
      <c r="G87" s="20" t="str">
        <f>Source!DG42</f>
        <v/>
      </c>
      <c r="H87" s="8">
        <f>Source!AV42</f>
        <v>1</v>
      </c>
      <c r="I87" s="8">
        <f>IF(Source!BA42&lt;&gt; 0, Source!BA42, 1)</f>
        <v>1</v>
      </c>
      <c r="J87" s="21">
        <f>Source!S42</f>
        <v>39484.239999999998</v>
      </c>
      <c r="K87" s="21"/>
    </row>
    <row r="88" spans="1:22" ht="42.75" x14ac:dyDescent="0.2">
      <c r="A88" s="18" t="s">
        <v>77</v>
      </c>
      <c r="B88" s="18" t="str">
        <f>Source!F43</f>
        <v>Цена поставщика</v>
      </c>
      <c r="C88" s="18" t="s">
        <v>368</v>
      </c>
      <c r="D88" s="19" t="str">
        <f>Source!H43</f>
        <v>м.п.</v>
      </c>
      <c r="E88" s="8">
        <f>Source!I43</f>
        <v>800</v>
      </c>
      <c r="F88" s="21">
        <f>Source!AK43</f>
        <v>381.08</v>
      </c>
      <c r="G88" s="23" t="s">
        <v>3</v>
      </c>
      <c r="H88" s="8">
        <f>Source!AW43</f>
        <v>1</v>
      </c>
      <c r="I88" s="8">
        <f>IF(Source!BC43&lt;&gt; 0, Source!BC43, 1)</f>
        <v>1</v>
      </c>
      <c r="J88" s="21">
        <f>Source!O43</f>
        <v>304864</v>
      </c>
      <c r="K88" s="21"/>
      <c r="Q88">
        <f>ROUND((Source!BZ43/100)*ROUND((Source!AF43*Source!AV43)*Source!I43, 2), 2)</f>
        <v>0</v>
      </c>
      <c r="R88">
        <f>Source!X43</f>
        <v>0</v>
      </c>
      <c r="S88">
        <f>ROUND((Source!CA43/100)*ROUND((Source!AF43*Source!AV43)*Source!I43, 2), 2)</f>
        <v>0</v>
      </c>
      <c r="T88">
        <f>Source!Y43</f>
        <v>0</v>
      </c>
      <c r="U88">
        <f>ROUND((175/100)*ROUND((Source!AE43*Source!AV43)*Source!I43, 2), 2)</f>
        <v>0</v>
      </c>
      <c r="V88">
        <f>ROUND((108/100)*ROUND(Source!CS43*Source!I43, 2), 2)</f>
        <v>0</v>
      </c>
    </row>
    <row r="89" spans="1:22" ht="42.75" x14ac:dyDescent="0.2">
      <c r="A89" s="18" t="s">
        <v>80</v>
      </c>
      <c r="B89" s="18" t="str">
        <f>Source!F44</f>
        <v>Цена поставщика</v>
      </c>
      <c r="C89" s="18" t="s">
        <v>369</v>
      </c>
      <c r="D89" s="19" t="str">
        <f>Source!H44</f>
        <v>шт.</v>
      </c>
      <c r="E89" s="8">
        <f>Source!I44</f>
        <v>30</v>
      </c>
      <c r="F89" s="21">
        <f>Source!AK44</f>
        <v>772.52</v>
      </c>
      <c r="G89" s="23" t="s">
        <v>3</v>
      </c>
      <c r="H89" s="8">
        <f>Source!AW44</f>
        <v>1</v>
      </c>
      <c r="I89" s="8">
        <f>IF(Source!BC44&lt;&gt; 0, Source!BC44, 1)</f>
        <v>1</v>
      </c>
      <c r="J89" s="21">
        <f>Source!O44</f>
        <v>23175.599999999999</v>
      </c>
      <c r="K89" s="21"/>
      <c r="Q89">
        <f>ROUND((Source!BZ44/100)*ROUND((Source!AF44*Source!AV44)*Source!I44, 2), 2)</f>
        <v>0</v>
      </c>
      <c r="R89">
        <f>Source!X44</f>
        <v>0</v>
      </c>
      <c r="S89">
        <f>ROUND((Source!CA44/100)*ROUND((Source!AF44*Source!AV44)*Source!I44, 2), 2)</f>
        <v>0</v>
      </c>
      <c r="T89">
        <f>Source!Y44</f>
        <v>0</v>
      </c>
      <c r="U89">
        <f>ROUND((175/100)*ROUND((Source!AE44*Source!AV44)*Source!I44, 2), 2)</f>
        <v>0</v>
      </c>
      <c r="V89">
        <f>ROUND((108/100)*ROUND(Source!CS44*Source!I44, 2), 2)</f>
        <v>0</v>
      </c>
    </row>
    <row r="90" spans="1:22" ht="14.25" x14ac:dyDescent="0.2">
      <c r="A90" s="18"/>
      <c r="B90" s="18"/>
      <c r="C90" s="18" t="s">
        <v>355</v>
      </c>
      <c r="D90" s="19" t="s">
        <v>356</v>
      </c>
      <c r="E90" s="8">
        <f>Source!AT42</f>
        <v>70</v>
      </c>
      <c r="F90" s="21"/>
      <c r="G90" s="20"/>
      <c r="H90" s="8"/>
      <c r="I90" s="8"/>
      <c r="J90" s="21">
        <f>SUM(R85:R89)</f>
        <v>27638.97</v>
      </c>
      <c r="K90" s="21"/>
    </row>
    <row r="91" spans="1:22" ht="14.25" x14ac:dyDescent="0.2">
      <c r="A91" s="18"/>
      <c r="B91" s="18"/>
      <c r="C91" s="18" t="s">
        <v>357</v>
      </c>
      <c r="D91" s="19" t="s">
        <v>356</v>
      </c>
      <c r="E91" s="8">
        <f>Source!AU42</f>
        <v>10</v>
      </c>
      <c r="F91" s="21"/>
      <c r="G91" s="20"/>
      <c r="H91" s="8"/>
      <c r="I91" s="8"/>
      <c r="J91" s="21">
        <f>SUM(T85:T90)</f>
        <v>3948.42</v>
      </c>
      <c r="K91" s="21"/>
    </row>
    <row r="92" spans="1:22" ht="14.25" x14ac:dyDescent="0.2">
      <c r="A92" s="18"/>
      <c r="B92" s="18"/>
      <c r="C92" s="18" t="s">
        <v>359</v>
      </c>
      <c r="D92" s="19" t="s">
        <v>360</v>
      </c>
      <c r="E92" s="8">
        <f>Source!AQ42</f>
        <v>8.2899999999999991</v>
      </c>
      <c r="F92" s="21"/>
      <c r="G92" s="20" t="str">
        <f>Source!DI42</f>
        <v/>
      </c>
      <c r="H92" s="8">
        <f>Source!AV42</f>
        <v>1</v>
      </c>
      <c r="I92" s="8"/>
      <c r="J92" s="21"/>
      <c r="K92" s="21">
        <f>Source!U42</f>
        <v>66.319999999999993</v>
      </c>
    </row>
    <row r="93" spans="1:22" ht="15" x14ac:dyDescent="0.25">
      <c r="A93" s="26"/>
      <c r="B93" s="26"/>
      <c r="C93" s="26"/>
      <c r="D93" s="26"/>
      <c r="E93" s="26"/>
      <c r="F93" s="26"/>
      <c r="G93" s="26"/>
      <c r="H93" s="26"/>
      <c r="I93" s="56">
        <f>J87+J90+J91+SUM(J88:J89)</f>
        <v>399111.23</v>
      </c>
      <c r="J93" s="56"/>
      <c r="K93" s="27">
        <f>IF(Source!I42&lt;&gt;0, ROUND(I93/Source!I42, 2), 0)</f>
        <v>49888.9</v>
      </c>
      <c r="P93" s="24">
        <f>I93</f>
        <v>399111.23</v>
      </c>
    </row>
    <row r="94" spans="1:22" ht="85.5" x14ac:dyDescent="0.2">
      <c r="A94" s="18">
        <v>6</v>
      </c>
      <c r="B94" s="18" t="str">
        <f>Source!F45</f>
        <v>1.21-3103-29-1/1</v>
      </c>
      <c r="C94" s="18" t="str">
        <f>Source!G45</f>
        <v>Прокладка коробок ответвительных к распределительному шинопроводу, коробок с предохранителем или разъединителем, или автоматом, или указателем напряжения (без стоимости материалов)</v>
      </c>
      <c r="D94" s="19" t="str">
        <f>Source!H45</f>
        <v>100 шт.</v>
      </c>
      <c r="E94" s="8">
        <f>Source!I45</f>
        <v>0.9</v>
      </c>
      <c r="F94" s="21"/>
      <c r="G94" s="20"/>
      <c r="H94" s="8"/>
      <c r="I94" s="8"/>
      <c r="J94" s="21"/>
      <c r="K94" s="21"/>
      <c r="Q94">
        <f>ROUND((Source!BZ45/100)*ROUND((Source!AF45*Source!AV45)*Source!I45, 2), 2)</f>
        <v>92737.74</v>
      </c>
      <c r="R94">
        <f>Source!X45</f>
        <v>92737.74</v>
      </c>
      <c r="S94">
        <f>ROUND((Source!CA45/100)*ROUND((Source!AF45*Source!AV45)*Source!I45, 2), 2)</f>
        <v>13248.25</v>
      </c>
      <c r="T94">
        <f>Source!Y45</f>
        <v>13248.25</v>
      </c>
      <c r="U94">
        <f>ROUND((175/100)*ROUND((Source!AE45*Source!AV45)*Source!I45, 2), 2)</f>
        <v>0</v>
      </c>
      <c r="V94">
        <f>ROUND((108/100)*ROUND(Source!CS45*Source!I45, 2), 2)</f>
        <v>0</v>
      </c>
    </row>
    <row r="95" spans="1:22" x14ac:dyDescent="0.2">
      <c r="C95" s="28" t="str">
        <f>"Объем: "&amp;Source!I45&amp;"=90/"&amp;"100"</f>
        <v>Объем: 0,9=90/100</v>
      </c>
    </row>
    <row r="96" spans="1:22" ht="14.25" x14ac:dyDescent="0.2">
      <c r="A96" s="18"/>
      <c r="B96" s="18"/>
      <c r="C96" s="18" t="s">
        <v>351</v>
      </c>
      <c r="D96" s="19"/>
      <c r="E96" s="8"/>
      <c r="F96" s="21">
        <f>Source!AO45</f>
        <v>147202.76</v>
      </c>
      <c r="G96" s="20" t="str">
        <f>Source!DG45</f>
        <v/>
      </c>
      <c r="H96" s="8">
        <f>Source!AV45</f>
        <v>1</v>
      </c>
      <c r="I96" s="8">
        <f>IF(Source!BA45&lt;&gt; 0, Source!BA45, 1)</f>
        <v>1</v>
      </c>
      <c r="J96" s="21">
        <f>Source!S45</f>
        <v>132482.48000000001</v>
      </c>
      <c r="K96" s="21"/>
    </row>
    <row r="97" spans="1:22" ht="55.5" x14ac:dyDescent="0.2">
      <c r="A97" s="18" t="s">
        <v>88</v>
      </c>
      <c r="B97" s="18" t="str">
        <f>Source!F46</f>
        <v>Цена поставщика</v>
      </c>
      <c r="C97" s="18" t="s">
        <v>370</v>
      </c>
      <c r="D97" s="19" t="str">
        <f>Source!H46</f>
        <v>шт.</v>
      </c>
      <c r="E97" s="8">
        <f>Source!I46</f>
        <v>16</v>
      </c>
      <c r="F97" s="21">
        <f>Source!AK46</f>
        <v>535.59</v>
      </c>
      <c r="G97" s="23" t="s">
        <v>3</v>
      </c>
      <c r="H97" s="8">
        <f>Source!AW46</f>
        <v>1</v>
      </c>
      <c r="I97" s="8">
        <f>IF(Source!BC46&lt;&gt; 0, Source!BC46, 1)</f>
        <v>1</v>
      </c>
      <c r="J97" s="21">
        <f>Source!O46</f>
        <v>8569.44</v>
      </c>
      <c r="K97" s="21"/>
      <c r="Q97">
        <f>ROUND((Source!BZ46/100)*ROUND((Source!AF46*Source!AV46)*Source!I46, 2), 2)</f>
        <v>0</v>
      </c>
      <c r="R97">
        <f>Source!X46</f>
        <v>0</v>
      </c>
      <c r="S97">
        <f>ROUND((Source!CA46/100)*ROUND((Source!AF46*Source!AV46)*Source!I46, 2), 2)</f>
        <v>0</v>
      </c>
      <c r="T97">
        <f>Source!Y46</f>
        <v>0</v>
      </c>
      <c r="U97">
        <f>ROUND((175/100)*ROUND((Source!AE46*Source!AV46)*Source!I46, 2), 2)</f>
        <v>0</v>
      </c>
      <c r="V97">
        <f>ROUND((108/100)*ROUND(Source!CS46*Source!I46, 2), 2)</f>
        <v>0</v>
      </c>
    </row>
    <row r="98" spans="1:22" ht="55.5" x14ac:dyDescent="0.2">
      <c r="A98" s="18" t="s">
        <v>91</v>
      </c>
      <c r="B98" s="18" t="str">
        <f>Source!F47</f>
        <v>Цена поставщика</v>
      </c>
      <c r="C98" s="18" t="s">
        <v>371</v>
      </c>
      <c r="D98" s="19" t="str">
        <f>Source!H47</f>
        <v>шт.</v>
      </c>
      <c r="E98" s="8">
        <f>Source!I47</f>
        <v>74</v>
      </c>
      <c r="F98" s="21">
        <f>Source!AK47</f>
        <v>535.59</v>
      </c>
      <c r="G98" s="23" t="s">
        <v>3</v>
      </c>
      <c r="H98" s="8">
        <f>Source!AW47</f>
        <v>1</v>
      </c>
      <c r="I98" s="8">
        <f>IF(Source!BC47&lt;&gt; 0, Source!BC47, 1)</f>
        <v>1</v>
      </c>
      <c r="J98" s="21">
        <f>Source!O47</f>
        <v>39633.660000000003</v>
      </c>
      <c r="K98" s="21"/>
      <c r="Q98">
        <f>ROUND((Source!BZ47/100)*ROUND((Source!AF47*Source!AV47)*Source!I47, 2), 2)</f>
        <v>0</v>
      </c>
      <c r="R98">
        <f>Source!X47</f>
        <v>0</v>
      </c>
      <c r="S98">
        <f>ROUND((Source!CA47/100)*ROUND((Source!AF47*Source!AV47)*Source!I47, 2), 2)</f>
        <v>0</v>
      </c>
      <c r="T98">
        <f>Source!Y47</f>
        <v>0</v>
      </c>
      <c r="U98">
        <f>ROUND((175/100)*ROUND((Source!AE47*Source!AV47)*Source!I47, 2), 2)</f>
        <v>0</v>
      </c>
      <c r="V98">
        <f>ROUND((108/100)*ROUND(Source!CS47*Source!I47, 2), 2)</f>
        <v>0</v>
      </c>
    </row>
    <row r="99" spans="1:22" ht="42.75" x14ac:dyDescent="0.2">
      <c r="A99" s="18" t="s">
        <v>93</v>
      </c>
      <c r="B99" s="18" t="str">
        <f>Source!F48</f>
        <v>Цена поставщика</v>
      </c>
      <c r="C99" s="18" t="s">
        <v>372</v>
      </c>
      <c r="D99" s="19" t="str">
        <f>Source!H48</f>
        <v>шт.</v>
      </c>
      <c r="E99" s="8">
        <f>Source!I48</f>
        <v>100</v>
      </c>
      <c r="F99" s="21">
        <f>Source!AK48</f>
        <v>175.18</v>
      </c>
      <c r="G99" s="23" t="s">
        <v>3</v>
      </c>
      <c r="H99" s="8">
        <f>Source!AW48</f>
        <v>1</v>
      </c>
      <c r="I99" s="8">
        <f>IF(Source!BC48&lt;&gt; 0, Source!BC48, 1)</f>
        <v>1</v>
      </c>
      <c r="J99" s="21">
        <f>Source!O48</f>
        <v>17518</v>
      </c>
      <c r="K99" s="21"/>
      <c r="Q99">
        <f>ROUND((Source!BZ48/100)*ROUND((Source!AF48*Source!AV48)*Source!I48, 2), 2)</f>
        <v>0</v>
      </c>
      <c r="R99">
        <f>Source!X48</f>
        <v>0</v>
      </c>
      <c r="S99">
        <f>ROUND((Source!CA48/100)*ROUND((Source!AF48*Source!AV48)*Source!I48, 2), 2)</f>
        <v>0</v>
      </c>
      <c r="T99">
        <f>Source!Y48</f>
        <v>0</v>
      </c>
      <c r="U99">
        <f>ROUND((175/100)*ROUND((Source!AE48*Source!AV48)*Source!I48, 2), 2)</f>
        <v>0</v>
      </c>
      <c r="V99">
        <f>ROUND((108/100)*ROUND(Source!CS48*Source!I48, 2), 2)</f>
        <v>0</v>
      </c>
    </row>
    <row r="100" spans="1:22" ht="42.75" x14ac:dyDescent="0.2">
      <c r="A100" s="18" t="s">
        <v>96</v>
      </c>
      <c r="B100" s="18" t="str">
        <f>Source!F49</f>
        <v>21.21-5-239</v>
      </c>
      <c r="C100" s="18" t="str">
        <f>Source!G49</f>
        <v>Наконечники герметичные изолированные под опрессовку, с алюминиевой клеммой, тип CPTA 16</v>
      </c>
      <c r="D100" s="19" t="str">
        <f>Source!H49</f>
        <v>шт.</v>
      </c>
      <c r="E100" s="8">
        <f>Source!I49</f>
        <v>1</v>
      </c>
      <c r="F100" s="21">
        <f>Source!AK49</f>
        <v>695.83</v>
      </c>
      <c r="G100" s="23" t="s">
        <v>3</v>
      </c>
      <c r="H100" s="8">
        <f>Source!AW49</f>
        <v>1</v>
      </c>
      <c r="I100" s="8">
        <f>IF(Source!BC49&lt;&gt; 0, Source!BC49, 1)</f>
        <v>1</v>
      </c>
      <c r="J100" s="21">
        <f>Source!O49</f>
        <v>695.83</v>
      </c>
      <c r="K100" s="21"/>
      <c r="Q100">
        <f>ROUND((Source!BZ49/100)*ROUND((Source!AF49*Source!AV49)*Source!I49, 2), 2)</f>
        <v>0</v>
      </c>
      <c r="R100">
        <f>Source!X49</f>
        <v>0</v>
      </c>
      <c r="S100">
        <f>ROUND((Source!CA49/100)*ROUND((Source!AF49*Source!AV49)*Source!I49, 2), 2)</f>
        <v>0</v>
      </c>
      <c r="T100">
        <f>Source!Y49</f>
        <v>0</v>
      </c>
      <c r="U100">
        <f>ROUND((175/100)*ROUND((Source!AE49*Source!AV49)*Source!I49, 2), 2)</f>
        <v>0</v>
      </c>
      <c r="V100">
        <f>ROUND((108/100)*ROUND(Source!CS49*Source!I49, 2), 2)</f>
        <v>0</v>
      </c>
    </row>
    <row r="101" spans="1:22" ht="57" x14ac:dyDescent="0.2">
      <c r="A101" s="18" t="s">
        <v>100</v>
      </c>
      <c r="B101" s="18" t="str">
        <f>Source!F50</f>
        <v>21.21-5-60</v>
      </c>
      <c r="C101" s="18" t="str">
        <f>Source!G50</f>
        <v>Коробки ответвительные алюминиевые для шинопроводов ШРА 4 (ШРА 73), тип У 2051 У3, с автоматическими выключателями</v>
      </c>
      <c r="D101" s="19" t="str">
        <f>Source!H50</f>
        <v>шт.</v>
      </c>
      <c r="E101" s="8">
        <f>Source!I50</f>
        <v>1</v>
      </c>
      <c r="F101" s="21">
        <f>Source!AK50</f>
        <v>54070.58</v>
      </c>
      <c r="G101" s="23" t="s">
        <v>3</v>
      </c>
      <c r="H101" s="8">
        <f>Source!AW50</f>
        <v>1</v>
      </c>
      <c r="I101" s="8">
        <f>IF(Source!BC50&lt;&gt; 0, Source!BC50, 1)</f>
        <v>1</v>
      </c>
      <c r="J101" s="21">
        <f>Source!O50</f>
        <v>54070.58</v>
      </c>
      <c r="K101" s="21"/>
      <c r="Q101">
        <f>ROUND((Source!BZ50/100)*ROUND((Source!AF50*Source!AV50)*Source!I50, 2), 2)</f>
        <v>0</v>
      </c>
      <c r="R101">
        <f>Source!X50</f>
        <v>0</v>
      </c>
      <c r="S101">
        <f>ROUND((Source!CA50/100)*ROUND((Source!AF50*Source!AV50)*Source!I50, 2), 2)</f>
        <v>0</v>
      </c>
      <c r="T101">
        <f>Source!Y50</f>
        <v>0</v>
      </c>
      <c r="U101">
        <f>ROUND((175/100)*ROUND((Source!AE50*Source!AV50)*Source!I50, 2), 2)</f>
        <v>0</v>
      </c>
      <c r="V101">
        <f>ROUND((108/100)*ROUND(Source!CS50*Source!I50, 2), 2)</f>
        <v>0</v>
      </c>
    </row>
    <row r="102" spans="1:22" ht="14.25" x14ac:dyDescent="0.2">
      <c r="A102" s="18"/>
      <c r="B102" s="18"/>
      <c r="C102" s="18" t="s">
        <v>355</v>
      </c>
      <c r="D102" s="19" t="s">
        <v>356</v>
      </c>
      <c r="E102" s="8">
        <f>Source!AT45</f>
        <v>70</v>
      </c>
      <c r="F102" s="21"/>
      <c r="G102" s="20"/>
      <c r="H102" s="8"/>
      <c r="I102" s="8"/>
      <c r="J102" s="21">
        <f>SUM(R94:R101)</f>
        <v>92737.74</v>
      </c>
      <c r="K102" s="21"/>
    </row>
    <row r="103" spans="1:22" ht="14.25" x14ac:dyDescent="0.2">
      <c r="A103" s="18"/>
      <c r="B103" s="18"/>
      <c r="C103" s="18" t="s">
        <v>357</v>
      </c>
      <c r="D103" s="19" t="s">
        <v>356</v>
      </c>
      <c r="E103" s="8">
        <f>Source!AU45</f>
        <v>10</v>
      </c>
      <c r="F103" s="21"/>
      <c r="G103" s="20"/>
      <c r="H103" s="8"/>
      <c r="I103" s="8"/>
      <c r="J103" s="21">
        <f>SUM(T94:T102)</f>
        <v>13248.25</v>
      </c>
      <c r="K103" s="21"/>
    </row>
    <row r="104" spans="1:22" ht="14.25" x14ac:dyDescent="0.2">
      <c r="A104" s="18"/>
      <c r="B104" s="18"/>
      <c r="C104" s="18" t="s">
        <v>359</v>
      </c>
      <c r="D104" s="19" t="s">
        <v>360</v>
      </c>
      <c r="E104" s="8">
        <f>Source!AQ45</f>
        <v>247.25</v>
      </c>
      <c r="F104" s="21"/>
      <c r="G104" s="20" t="str">
        <f>Source!DI45</f>
        <v/>
      </c>
      <c r="H104" s="8">
        <f>Source!AV45</f>
        <v>1</v>
      </c>
      <c r="I104" s="8"/>
      <c r="J104" s="21"/>
      <c r="K104" s="21">
        <f>Source!U45</f>
        <v>222.52500000000001</v>
      </c>
    </row>
    <row r="105" spans="1:22" ht="15" x14ac:dyDescent="0.25">
      <c r="A105" s="26"/>
      <c r="B105" s="26"/>
      <c r="C105" s="26"/>
      <c r="D105" s="26"/>
      <c r="E105" s="26"/>
      <c r="F105" s="26"/>
      <c r="G105" s="26"/>
      <c r="H105" s="26"/>
      <c r="I105" s="56">
        <f>J96+J102+J103+SUM(J97:J101)</f>
        <v>358955.98000000004</v>
      </c>
      <c r="J105" s="56"/>
      <c r="K105" s="27">
        <f>IF(Source!I45&lt;&gt;0, ROUND(I105/Source!I45, 2), 0)</f>
        <v>398839.98</v>
      </c>
      <c r="P105" s="24">
        <f>I105</f>
        <v>358955.98000000004</v>
      </c>
    </row>
    <row r="106" spans="1:22" ht="42.75" x14ac:dyDescent="0.2">
      <c r="A106" s="18">
        <v>7</v>
      </c>
      <c r="B106" s="18" t="str">
        <f>Source!F51</f>
        <v>1.23-3303-1-1/1</v>
      </c>
      <c r="C106" s="18" t="str">
        <f>Source!G51</f>
        <v>Установка аппаратуры настольной - аппарата настольного массой до 0,015 т / прим.</v>
      </c>
      <c r="D106" s="19" t="str">
        <f>Source!H51</f>
        <v>шт.</v>
      </c>
      <c r="E106" s="8">
        <f>Source!I51</f>
        <v>25</v>
      </c>
      <c r="F106" s="21"/>
      <c r="G106" s="20"/>
      <c r="H106" s="8"/>
      <c r="I106" s="8"/>
      <c r="J106" s="21"/>
      <c r="K106" s="21"/>
      <c r="Q106">
        <f>ROUND((Source!BZ51/100)*ROUND((Source!AF51*Source!AV51)*Source!I51, 2), 2)</f>
        <v>10466.4</v>
      </c>
      <c r="R106">
        <f>Source!X51</f>
        <v>10466.4</v>
      </c>
      <c r="S106">
        <f>ROUND((Source!CA51/100)*ROUND((Source!AF51*Source!AV51)*Source!I51, 2), 2)</f>
        <v>1495.2</v>
      </c>
      <c r="T106">
        <f>Source!Y51</f>
        <v>1495.2</v>
      </c>
      <c r="U106">
        <f>ROUND((175/100)*ROUND((Source!AE51*Source!AV51)*Source!I51, 2), 2)</f>
        <v>0</v>
      </c>
      <c r="V106">
        <f>ROUND((108/100)*ROUND(Source!CS51*Source!I51, 2), 2)</f>
        <v>0</v>
      </c>
    </row>
    <row r="107" spans="1:22" ht="14.25" x14ac:dyDescent="0.2">
      <c r="A107" s="18"/>
      <c r="B107" s="18"/>
      <c r="C107" s="18" t="s">
        <v>351</v>
      </c>
      <c r="D107" s="19"/>
      <c r="E107" s="8"/>
      <c r="F107" s="21">
        <f>Source!AO51</f>
        <v>598.08000000000004</v>
      </c>
      <c r="G107" s="20" t="str">
        <f>Source!DG51</f>
        <v/>
      </c>
      <c r="H107" s="8">
        <f>Source!AV51</f>
        <v>1</v>
      </c>
      <c r="I107" s="8">
        <f>IF(Source!BA51&lt;&gt; 0, Source!BA51, 1)</f>
        <v>1</v>
      </c>
      <c r="J107" s="21">
        <f>Source!S51</f>
        <v>14952</v>
      </c>
      <c r="K107" s="21"/>
    </row>
    <row r="108" spans="1:22" ht="126.75" x14ac:dyDescent="0.2">
      <c r="A108" s="18" t="s">
        <v>108</v>
      </c>
      <c r="B108" s="18" t="str">
        <f>Source!F52</f>
        <v>Цена поставщика</v>
      </c>
      <c r="C108" s="18" t="s">
        <v>373</v>
      </c>
      <c r="D108" s="19" t="str">
        <f>Source!H52</f>
        <v>шт.</v>
      </c>
      <c r="E108" s="8">
        <f>Source!I52</f>
        <v>25</v>
      </c>
      <c r="F108" s="21">
        <f>Source!AK52</f>
        <v>906.39</v>
      </c>
      <c r="G108" s="23" t="s">
        <v>3</v>
      </c>
      <c r="H108" s="8">
        <f>Source!AW52</f>
        <v>1</v>
      </c>
      <c r="I108" s="8">
        <f>IF(Source!BC52&lt;&gt; 0, Source!BC52, 1)</f>
        <v>1</v>
      </c>
      <c r="J108" s="21">
        <f>Source!O52</f>
        <v>22659.75</v>
      </c>
      <c r="K108" s="21"/>
      <c r="Q108">
        <f>ROUND((Source!BZ52/100)*ROUND((Source!AF52*Source!AV52)*Source!I52, 2), 2)</f>
        <v>0</v>
      </c>
      <c r="R108">
        <f>Source!X52</f>
        <v>0</v>
      </c>
      <c r="S108">
        <f>ROUND((Source!CA52/100)*ROUND((Source!AF52*Source!AV52)*Source!I52, 2), 2)</f>
        <v>0</v>
      </c>
      <c r="T108">
        <f>Source!Y52</f>
        <v>0</v>
      </c>
      <c r="U108">
        <f>ROUND((175/100)*ROUND((Source!AE52*Source!AV52)*Source!I52, 2), 2)</f>
        <v>0</v>
      </c>
      <c r="V108">
        <f>ROUND((108/100)*ROUND(Source!CS52*Source!I52, 2), 2)</f>
        <v>0</v>
      </c>
    </row>
    <row r="109" spans="1:22" ht="42.75" x14ac:dyDescent="0.2">
      <c r="A109" s="18" t="s">
        <v>111</v>
      </c>
      <c r="B109" s="18" t="str">
        <f>Source!F53</f>
        <v>Цена поставщика</v>
      </c>
      <c r="C109" s="18" t="s">
        <v>374</v>
      </c>
      <c r="D109" s="19" t="str">
        <f>Source!H53</f>
        <v>шт.</v>
      </c>
      <c r="E109" s="8">
        <f>Source!I53</f>
        <v>100</v>
      </c>
      <c r="F109" s="21">
        <f>Source!AK53</f>
        <v>370.8</v>
      </c>
      <c r="G109" s="23" t="s">
        <v>3</v>
      </c>
      <c r="H109" s="8">
        <f>Source!AW53</f>
        <v>1</v>
      </c>
      <c r="I109" s="8">
        <f>IF(Source!BC53&lt;&gt; 0, Source!BC53, 1)</f>
        <v>1</v>
      </c>
      <c r="J109" s="21">
        <f>Source!O53</f>
        <v>37080</v>
      </c>
      <c r="K109" s="21"/>
      <c r="Q109">
        <f>ROUND((Source!BZ53/100)*ROUND((Source!AF53*Source!AV53)*Source!I53, 2), 2)</f>
        <v>0</v>
      </c>
      <c r="R109">
        <f>Source!X53</f>
        <v>0</v>
      </c>
      <c r="S109">
        <f>ROUND((Source!CA53/100)*ROUND((Source!AF53*Source!AV53)*Source!I53, 2), 2)</f>
        <v>0</v>
      </c>
      <c r="T109">
        <f>Source!Y53</f>
        <v>0</v>
      </c>
      <c r="U109">
        <f>ROUND((175/100)*ROUND((Source!AE53*Source!AV53)*Source!I53, 2), 2)</f>
        <v>0</v>
      </c>
      <c r="V109">
        <f>ROUND((108/100)*ROUND(Source!CS53*Source!I53, 2), 2)</f>
        <v>0</v>
      </c>
    </row>
    <row r="110" spans="1:22" ht="14.25" x14ac:dyDescent="0.2">
      <c r="A110" s="18"/>
      <c r="B110" s="18"/>
      <c r="C110" s="18" t="s">
        <v>355</v>
      </c>
      <c r="D110" s="19" t="s">
        <v>356</v>
      </c>
      <c r="E110" s="8">
        <f>Source!AT51</f>
        <v>70</v>
      </c>
      <c r="F110" s="21"/>
      <c r="G110" s="20"/>
      <c r="H110" s="8"/>
      <c r="I110" s="8"/>
      <c r="J110" s="21">
        <f>SUM(R106:R109)</f>
        <v>10466.4</v>
      </c>
      <c r="K110" s="21"/>
    </row>
    <row r="111" spans="1:22" ht="14.25" x14ac:dyDescent="0.2">
      <c r="A111" s="18"/>
      <c r="B111" s="18"/>
      <c r="C111" s="18" t="s">
        <v>357</v>
      </c>
      <c r="D111" s="19" t="s">
        <v>356</v>
      </c>
      <c r="E111" s="8">
        <f>Source!AU51</f>
        <v>10</v>
      </c>
      <c r="F111" s="21"/>
      <c r="G111" s="20"/>
      <c r="H111" s="8"/>
      <c r="I111" s="8"/>
      <c r="J111" s="21">
        <f>SUM(T106:T110)</f>
        <v>1495.2</v>
      </c>
      <c r="K111" s="21"/>
    </row>
    <row r="112" spans="1:22" ht="14.25" x14ac:dyDescent="0.2">
      <c r="A112" s="18"/>
      <c r="B112" s="18"/>
      <c r="C112" s="18" t="s">
        <v>359</v>
      </c>
      <c r="D112" s="19" t="s">
        <v>360</v>
      </c>
      <c r="E112" s="8">
        <f>Source!AQ51</f>
        <v>1.18</v>
      </c>
      <c r="F112" s="21"/>
      <c r="G112" s="20" t="str">
        <f>Source!DI51</f>
        <v/>
      </c>
      <c r="H112" s="8">
        <f>Source!AV51</f>
        <v>1</v>
      </c>
      <c r="I112" s="8"/>
      <c r="J112" s="21"/>
      <c r="K112" s="21">
        <f>Source!U51</f>
        <v>29.5</v>
      </c>
    </row>
    <row r="113" spans="1:22" ht="15" x14ac:dyDescent="0.25">
      <c r="A113" s="26"/>
      <c r="B113" s="26"/>
      <c r="C113" s="26"/>
      <c r="D113" s="26"/>
      <c r="E113" s="26"/>
      <c r="F113" s="26"/>
      <c r="G113" s="26"/>
      <c r="H113" s="26"/>
      <c r="I113" s="56">
        <f>J107+J110+J111+SUM(J108:J109)</f>
        <v>86653.35</v>
      </c>
      <c r="J113" s="56"/>
      <c r="K113" s="27">
        <f>IF(Source!I51&lt;&gt;0, ROUND(I113/Source!I51, 2), 0)</f>
        <v>3466.13</v>
      </c>
      <c r="P113" s="24">
        <f>I113</f>
        <v>86653.35</v>
      </c>
    </row>
    <row r="114" spans="1:22" ht="42.75" x14ac:dyDescent="0.2">
      <c r="A114" s="18">
        <v>8</v>
      </c>
      <c r="B114" s="18" t="str">
        <f>Source!F54</f>
        <v>1.20-3103-21-1/1</v>
      </c>
      <c r="C114" s="18" t="str">
        <f>Source!G54</f>
        <v>Прокладка кабеля в монтажном кабель-канале по фасаду здания при доступе с автоподъемника (прим.)</v>
      </c>
      <c r="D114" s="19" t="str">
        <f>Source!H54</f>
        <v>100 м</v>
      </c>
      <c r="E114" s="8">
        <f>Source!I54</f>
        <v>0.18</v>
      </c>
      <c r="F114" s="21"/>
      <c r="G114" s="20"/>
      <c r="H114" s="8"/>
      <c r="I114" s="8"/>
      <c r="J114" s="21"/>
      <c r="K114" s="21"/>
      <c r="Q114">
        <f>ROUND((Source!BZ54/100)*ROUND((Source!AF54*Source!AV54)*Source!I54, 2), 2)</f>
        <v>1418.16</v>
      </c>
      <c r="R114">
        <f>Source!X54</f>
        <v>1418.16</v>
      </c>
      <c r="S114">
        <f>ROUND((Source!CA54/100)*ROUND((Source!AF54*Source!AV54)*Source!I54, 2), 2)</f>
        <v>202.59</v>
      </c>
      <c r="T114">
        <f>Source!Y54</f>
        <v>202.59</v>
      </c>
      <c r="U114">
        <f>ROUND((175/100)*ROUND((Source!AE54*Source!AV54)*Source!I54, 2), 2)</f>
        <v>2721.32</v>
      </c>
      <c r="V114">
        <f>ROUND((108/100)*ROUND(Source!CS54*Source!I54, 2), 2)</f>
        <v>1679.44</v>
      </c>
    </row>
    <row r="115" spans="1:22" x14ac:dyDescent="0.2">
      <c r="C115" s="28" t="str">
        <f>"Объем: "&amp;Source!I54&amp;"=18/"&amp;"100"</f>
        <v>Объем: 0,18=18/100</v>
      </c>
    </row>
    <row r="116" spans="1:22" ht="14.25" x14ac:dyDescent="0.2">
      <c r="A116" s="18"/>
      <c r="B116" s="18"/>
      <c r="C116" s="18" t="s">
        <v>351</v>
      </c>
      <c r="D116" s="19"/>
      <c r="E116" s="8"/>
      <c r="F116" s="21">
        <f>Source!AO54</f>
        <v>11255.21</v>
      </c>
      <c r="G116" s="20" t="str">
        <f>Source!DG54</f>
        <v/>
      </c>
      <c r="H116" s="8">
        <f>Source!AV54</f>
        <v>1</v>
      </c>
      <c r="I116" s="8">
        <f>IF(Source!BA54&lt;&gt; 0, Source!BA54, 1)</f>
        <v>1</v>
      </c>
      <c r="J116" s="21">
        <f>Source!S54</f>
        <v>2025.94</v>
      </c>
      <c r="K116" s="21"/>
    </row>
    <row r="117" spans="1:22" ht="14.25" x14ac:dyDescent="0.2">
      <c r="A117" s="18"/>
      <c r="B117" s="18"/>
      <c r="C117" s="18" t="s">
        <v>352</v>
      </c>
      <c r="D117" s="19"/>
      <c r="E117" s="8"/>
      <c r="F117" s="21">
        <f>Source!AM54</f>
        <v>24823.05</v>
      </c>
      <c r="G117" s="20" t="str">
        <f>Source!DE54</f>
        <v/>
      </c>
      <c r="H117" s="8">
        <f>Source!AV54</f>
        <v>1</v>
      </c>
      <c r="I117" s="8">
        <f>IF(Source!BB54&lt;&gt; 0, Source!BB54, 1)</f>
        <v>1</v>
      </c>
      <c r="J117" s="21">
        <f>Source!Q54</f>
        <v>4468.1499999999996</v>
      </c>
      <c r="K117" s="21"/>
    </row>
    <row r="118" spans="1:22" ht="14.25" x14ac:dyDescent="0.2">
      <c r="A118" s="18"/>
      <c r="B118" s="18"/>
      <c r="C118" s="18" t="s">
        <v>353</v>
      </c>
      <c r="D118" s="19"/>
      <c r="E118" s="8"/>
      <c r="F118" s="21">
        <f>Source!AN54</f>
        <v>8639.1</v>
      </c>
      <c r="G118" s="20" t="str">
        <f>Source!DF54</f>
        <v/>
      </c>
      <c r="H118" s="8">
        <f>Source!AV54</f>
        <v>1</v>
      </c>
      <c r="I118" s="8">
        <f>IF(Source!BS54&lt;&gt; 0, Source!BS54, 1)</f>
        <v>1</v>
      </c>
      <c r="J118" s="22">
        <f>Source!R54</f>
        <v>1555.04</v>
      </c>
      <c r="K118" s="21"/>
    </row>
    <row r="119" spans="1:22" ht="84" x14ac:dyDescent="0.2">
      <c r="A119" s="18" t="s">
        <v>118</v>
      </c>
      <c r="B119" s="18" t="str">
        <f>Source!F55</f>
        <v>Цена поставщика</v>
      </c>
      <c r="C119" s="18" t="s">
        <v>375</v>
      </c>
      <c r="D119" s="19" t="str">
        <f>Source!H55</f>
        <v>м.п.</v>
      </c>
      <c r="E119" s="8">
        <f>Source!I55</f>
        <v>18</v>
      </c>
      <c r="F119" s="21">
        <f>Source!AK55</f>
        <v>52529.98</v>
      </c>
      <c r="G119" s="23" t="s">
        <v>3</v>
      </c>
      <c r="H119" s="8">
        <f>Source!AW55</f>
        <v>1</v>
      </c>
      <c r="I119" s="8">
        <f>IF(Source!BC55&lt;&gt; 0, Source!BC55, 1)</f>
        <v>1</v>
      </c>
      <c r="J119" s="21">
        <f>Source!O55</f>
        <v>945539.64</v>
      </c>
      <c r="K119" s="21"/>
      <c r="Q119">
        <f>ROUND((Source!BZ55/100)*ROUND((Source!AF55*Source!AV55)*Source!I55, 2), 2)</f>
        <v>0</v>
      </c>
      <c r="R119">
        <f>Source!X55</f>
        <v>0</v>
      </c>
      <c r="S119">
        <f>ROUND((Source!CA55/100)*ROUND((Source!AF55*Source!AV55)*Source!I55, 2), 2)</f>
        <v>0</v>
      </c>
      <c r="T119">
        <f>Source!Y55</f>
        <v>0</v>
      </c>
      <c r="U119">
        <f>ROUND((175/100)*ROUND((Source!AE55*Source!AV55)*Source!I55, 2), 2)</f>
        <v>0</v>
      </c>
      <c r="V119">
        <f>ROUND((108/100)*ROUND(Source!CS55*Source!I55, 2), 2)</f>
        <v>0</v>
      </c>
    </row>
    <row r="120" spans="1:22" ht="14.25" x14ac:dyDescent="0.2">
      <c r="A120" s="18"/>
      <c r="B120" s="18"/>
      <c r="C120" s="18" t="s">
        <v>355</v>
      </c>
      <c r="D120" s="19" t="s">
        <v>356</v>
      </c>
      <c r="E120" s="8">
        <f>Source!AT54</f>
        <v>70</v>
      </c>
      <c r="F120" s="21"/>
      <c r="G120" s="20"/>
      <c r="H120" s="8"/>
      <c r="I120" s="8"/>
      <c r="J120" s="21">
        <f>SUM(R114:R119)</f>
        <v>1418.16</v>
      </c>
      <c r="K120" s="21"/>
    </row>
    <row r="121" spans="1:22" ht="14.25" x14ac:dyDescent="0.2">
      <c r="A121" s="18"/>
      <c r="B121" s="18"/>
      <c r="C121" s="18" t="s">
        <v>357</v>
      </c>
      <c r="D121" s="19" t="s">
        <v>356</v>
      </c>
      <c r="E121" s="8">
        <f>Source!AU54</f>
        <v>10</v>
      </c>
      <c r="F121" s="21"/>
      <c r="G121" s="20"/>
      <c r="H121" s="8"/>
      <c r="I121" s="8"/>
      <c r="J121" s="21">
        <f>SUM(T114:T120)</f>
        <v>202.59</v>
      </c>
      <c r="K121" s="21"/>
    </row>
    <row r="122" spans="1:22" ht="14.25" x14ac:dyDescent="0.2">
      <c r="A122" s="18"/>
      <c r="B122" s="18"/>
      <c r="C122" s="18" t="s">
        <v>358</v>
      </c>
      <c r="D122" s="19" t="s">
        <v>356</v>
      </c>
      <c r="E122" s="8">
        <f>108</f>
        <v>108</v>
      </c>
      <c r="F122" s="21"/>
      <c r="G122" s="20"/>
      <c r="H122" s="8"/>
      <c r="I122" s="8"/>
      <c r="J122" s="21">
        <f>SUM(V114:V121)</f>
        <v>1679.44</v>
      </c>
      <c r="K122" s="21"/>
    </row>
    <row r="123" spans="1:22" ht="14.25" x14ac:dyDescent="0.2">
      <c r="A123" s="18"/>
      <c r="B123" s="18"/>
      <c r="C123" s="18" t="s">
        <v>359</v>
      </c>
      <c r="D123" s="19" t="s">
        <v>360</v>
      </c>
      <c r="E123" s="8">
        <f>Source!AQ54</f>
        <v>20.7</v>
      </c>
      <c r="F123" s="21"/>
      <c r="G123" s="20" t="str">
        <f>Source!DI54</f>
        <v/>
      </c>
      <c r="H123" s="8">
        <f>Source!AV54</f>
        <v>1</v>
      </c>
      <c r="I123" s="8"/>
      <c r="J123" s="21"/>
      <c r="K123" s="21">
        <f>Source!U54</f>
        <v>3.7259999999999995</v>
      </c>
    </row>
    <row r="124" spans="1:22" ht="15" x14ac:dyDescent="0.25">
      <c r="A124" s="26"/>
      <c r="B124" s="26"/>
      <c r="C124" s="26"/>
      <c r="D124" s="26"/>
      <c r="E124" s="26"/>
      <c r="F124" s="26"/>
      <c r="G124" s="26"/>
      <c r="H124" s="26"/>
      <c r="I124" s="56">
        <f>J116+J117+J120+J121+J122+SUM(J119:J119)</f>
        <v>955333.92</v>
      </c>
      <c r="J124" s="56"/>
      <c r="K124" s="27">
        <f>IF(Source!I54&lt;&gt;0, ROUND(I124/Source!I54, 2), 0)</f>
        <v>5307410.67</v>
      </c>
      <c r="P124" s="24">
        <f>I124</f>
        <v>955333.92</v>
      </c>
    </row>
    <row r="125" spans="1:22" ht="42.75" x14ac:dyDescent="0.2">
      <c r="A125" s="18">
        <v>9</v>
      </c>
      <c r="B125" s="18" t="str">
        <f>Source!F56</f>
        <v>1.20-3103-21-1/1</v>
      </c>
      <c r="C125" s="18" t="str">
        <f>Source!G56</f>
        <v>Прокладка кабеля в монтажном кабель-канале по фасаду здания при доступе с автоподъемника</v>
      </c>
      <c r="D125" s="19" t="str">
        <f>Source!H56</f>
        <v>100 м</v>
      </c>
      <c r="E125" s="8">
        <f>Source!I56</f>
        <v>0.14000000000000001</v>
      </c>
      <c r="F125" s="21"/>
      <c r="G125" s="20"/>
      <c r="H125" s="8"/>
      <c r="I125" s="8"/>
      <c r="J125" s="21"/>
      <c r="K125" s="21"/>
      <c r="Q125">
        <f>ROUND((Source!BZ56/100)*ROUND((Source!AF56*Source!AV56)*Source!I56, 2), 2)</f>
        <v>1103.01</v>
      </c>
      <c r="R125">
        <f>Source!X56</f>
        <v>1103.01</v>
      </c>
      <c r="S125">
        <f>ROUND((Source!CA56/100)*ROUND((Source!AF56*Source!AV56)*Source!I56, 2), 2)</f>
        <v>157.57</v>
      </c>
      <c r="T125">
        <f>Source!Y56</f>
        <v>157.57</v>
      </c>
      <c r="U125">
        <f>ROUND((175/100)*ROUND((Source!AE56*Source!AV56)*Source!I56, 2), 2)</f>
        <v>2116.5700000000002</v>
      </c>
      <c r="V125">
        <f>ROUND((108/100)*ROUND(Source!CS56*Source!I56, 2), 2)</f>
        <v>1306.23</v>
      </c>
    </row>
    <row r="126" spans="1:22" x14ac:dyDescent="0.2">
      <c r="C126" s="28" t="str">
        <f>"Объем: "&amp;Source!I56&amp;"=14/"&amp;"100"</f>
        <v>Объем: 0,14=14/100</v>
      </c>
    </row>
    <row r="127" spans="1:22" ht="14.25" x14ac:dyDescent="0.2">
      <c r="A127" s="18"/>
      <c r="B127" s="18"/>
      <c r="C127" s="18" t="s">
        <v>351</v>
      </c>
      <c r="D127" s="19"/>
      <c r="E127" s="8"/>
      <c r="F127" s="21">
        <f>Source!AO56</f>
        <v>11255.21</v>
      </c>
      <c r="G127" s="20" t="str">
        <f>Source!DG56</f>
        <v/>
      </c>
      <c r="H127" s="8">
        <f>Source!AV56</f>
        <v>1</v>
      </c>
      <c r="I127" s="8">
        <f>IF(Source!BA56&lt;&gt; 0, Source!BA56, 1)</f>
        <v>1</v>
      </c>
      <c r="J127" s="21">
        <f>Source!S56</f>
        <v>1575.73</v>
      </c>
      <c r="K127" s="21"/>
    </row>
    <row r="128" spans="1:22" ht="14.25" x14ac:dyDescent="0.2">
      <c r="A128" s="18"/>
      <c r="B128" s="18"/>
      <c r="C128" s="18" t="s">
        <v>352</v>
      </c>
      <c r="D128" s="19"/>
      <c r="E128" s="8"/>
      <c r="F128" s="21">
        <f>Source!AM56</f>
        <v>24823.05</v>
      </c>
      <c r="G128" s="20" t="str">
        <f>Source!DE56</f>
        <v/>
      </c>
      <c r="H128" s="8">
        <f>Source!AV56</f>
        <v>1</v>
      </c>
      <c r="I128" s="8">
        <f>IF(Source!BB56&lt;&gt; 0, Source!BB56, 1)</f>
        <v>1</v>
      </c>
      <c r="J128" s="21">
        <f>Source!Q56</f>
        <v>3475.23</v>
      </c>
      <c r="K128" s="21"/>
    </row>
    <row r="129" spans="1:22" ht="14.25" x14ac:dyDescent="0.2">
      <c r="A129" s="18"/>
      <c r="B129" s="18"/>
      <c r="C129" s="18" t="s">
        <v>353</v>
      </c>
      <c r="D129" s="19"/>
      <c r="E129" s="8"/>
      <c r="F129" s="21">
        <f>Source!AN56</f>
        <v>8639.1</v>
      </c>
      <c r="G129" s="20" t="str">
        <f>Source!DF56</f>
        <v/>
      </c>
      <c r="H129" s="8">
        <f>Source!AV56</f>
        <v>1</v>
      </c>
      <c r="I129" s="8">
        <f>IF(Source!BS56&lt;&gt; 0, Source!BS56, 1)</f>
        <v>1</v>
      </c>
      <c r="J129" s="22">
        <f>Source!R56</f>
        <v>1209.47</v>
      </c>
      <c r="K129" s="21"/>
    </row>
    <row r="130" spans="1:22" ht="55.5" x14ac:dyDescent="0.2">
      <c r="A130" s="18" t="s">
        <v>123</v>
      </c>
      <c r="B130" s="18" t="str">
        <f>Source!F57</f>
        <v>Цена поставщика</v>
      </c>
      <c r="C130" s="18" t="s">
        <v>376</v>
      </c>
      <c r="D130" s="19" t="str">
        <f>Source!H57</f>
        <v/>
      </c>
      <c r="E130" s="8">
        <f>Source!I57</f>
        <v>14</v>
      </c>
      <c r="F130" s="21">
        <f>Source!AK57</f>
        <v>1424.5</v>
      </c>
      <c r="G130" s="23" t="s">
        <v>3</v>
      </c>
      <c r="H130" s="8">
        <f>Source!AW57</f>
        <v>1</v>
      </c>
      <c r="I130" s="8">
        <f>IF(Source!BC57&lt;&gt; 0, Source!BC57, 1)</f>
        <v>1</v>
      </c>
      <c r="J130" s="21">
        <f>Source!O57</f>
        <v>19943</v>
      </c>
      <c r="K130" s="21"/>
      <c r="Q130">
        <f>ROUND((Source!BZ57/100)*ROUND((Source!AF57*Source!AV57)*Source!I57, 2), 2)</f>
        <v>0</v>
      </c>
      <c r="R130">
        <f>Source!X57</f>
        <v>0</v>
      </c>
      <c r="S130">
        <f>ROUND((Source!CA57/100)*ROUND((Source!AF57*Source!AV57)*Source!I57, 2), 2)</f>
        <v>0</v>
      </c>
      <c r="T130">
        <f>Source!Y57</f>
        <v>0</v>
      </c>
      <c r="U130">
        <f>ROUND((175/100)*ROUND((Source!AE57*Source!AV57)*Source!I57, 2), 2)</f>
        <v>0</v>
      </c>
      <c r="V130">
        <f>ROUND((108/100)*ROUND(Source!CS57*Source!I57, 2), 2)</f>
        <v>0</v>
      </c>
    </row>
    <row r="131" spans="1:22" ht="14.25" x14ac:dyDescent="0.2">
      <c r="A131" s="18"/>
      <c r="B131" s="18"/>
      <c r="C131" s="18" t="s">
        <v>355</v>
      </c>
      <c r="D131" s="19" t="s">
        <v>356</v>
      </c>
      <c r="E131" s="8">
        <f>Source!AT56</f>
        <v>70</v>
      </c>
      <c r="F131" s="21"/>
      <c r="G131" s="20"/>
      <c r="H131" s="8"/>
      <c r="I131" s="8"/>
      <c r="J131" s="21">
        <f>SUM(R125:R130)</f>
        <v>1103.01</v>
      </c>
      <c r="K131" s="21"/>
    </row>
    <row r="132" spans="1:22" ht="14.25" x14ac:dyDescent="0.2">
      <c r="A132" s="18"/>
      <c r="B132" s="18"/>
      <c r="C132" s="18" t="s">
        <v>357</v>
      </c>
      <c r="D132" s="19" t="s">
        <v>356</v>
      </c>
      <c r="E132" s="8">
        <f>Source!AU56</f>
        <v>10</v>
      </c>
      <c r="F132" s="21"/>
      <c r="G132" s="20"/>
      <c r="H132" s="8"/>
      <c r="I132" s="8"/>
      <c r="J132" s="21">
        <f>SUM(T125:T131)</f>
        <v>157.57</v>
      </c>
      <c r="K132" s="21"/>
    </row>
    <row r="133" spans="1:22" ht="14.25" x14ac:dyDescent="0.2">
      <c r="A133" s="18"/>
      <c r="B133" s="18"/>
      <c r="C133" s="18" t="s">
        <v>358</v>
      </c>
      <c r="D133" s="19" t="s">
        <v>356</v>
      </c>
      <c r="E133" s="8">
        <f>108</f>
        <v>108</v>
      </c>
      <c r="F133" s="21"/>
      <c r="G133" s="20"/>
      <c r="H133" s="8"/>
      <c r="I133" s="8"/>
      <c r="J133" s="21">
        <f>SUM(V125:V132)</f>
        <v>1306.23</v>
      </c>
      <c r="K133" s="21"/>
    </row>
    <row r="134" spans="1:22" ht="14.25" x14ac:dyDescent="0.2">
      <c r="A134" s="18"/>
      <c r="B134" s="18"/>
      <c r="C134" s="18" t="s">
        <v>359</v>
      </c>
      <c r="D134" s="19" t="s">
        <v>360</v>
      </c>
      <c r="E134" s="8">
        <f>Source!AQ56</f>
        <v>20.7</v>
      </c>
      <c r="F134" s="21"/>
      <c r="G134" s="20" t="str">
        <f>Source!DI56</f>
        <v/>
      </c>
      <c r="H134" s="8">
        <f>Source!AV56</f>
        <v>1</v>
      </c>
      <c r="I134" s="8"/>
      <c r="J134" s="21"/>
      <c r="K134" s="21">
        <f>Source!U56</f>
        <v>2.8980000000000001</v>
      </c>
    </row>
    <row r="135" spans="1:22" ht="15" x14ac:dyDescent="0.25">
      <c r="A135" s="26"/>
      <c r="B135" s="26"/>
      <c r="C135" s="26"/>
      <c r="D135" s="26"/>
      <c r="E135" s="26"/>
      <c r="F135" s="26"/>
      <c r="G135" s="26"/>
      <c r="H135" s="26"/>
      <c r="I135" s="56">
        <f>J127+J128+J131+J132+J133+SUM(J130:J130)</f>
        <v>27560.77</v>
      </c>
      <c r="J135" s="56"/>
      <c r="K135" s="27">
        <f>IF(Source!I56&lt;&gt;0, ROUND(I135/Source!I56, 2), 0)</f>
        <v>196862.64</v>
      </c>
      <c r="P135" s="24">
        <f>I135</f>
        <v>27560.77</v>
      </c>
    </row>
    <row r="136" spans="1:22" ht="42.75" x14ac:dyDescent="0.2">
      <c r="A136" s="18">
        <v>10</v>
      </c>
      <c r="B136" s="18" t="str">
        <f>Source!F58</f>
        <v>1.23-3303-1-1/1</v>
      </c>
      <c r="C136" s="18" t="str">
        <f>Source!G58</f>
        <v>Установка аппаратуры настольной - аппарата настольного массой до 0,015 т / блок питания</v>
      </c>
      <c r="D136" s="19" t="str">
        <f>Source!H58</f>
        <v>шт.</v>
      </c>
      <c r="E136" s="8">
        <f>Source!I58</f>
        <v>80</v>
      </c>
      <c r="F136" s="21"/>
      <c r="G136" s="20"/>
      <c r="H136" s="8"/>
      <c r="I136" s="8"/>
      <c r="J136" s="21"/>
      <c r="K136" s="21"/>
      <c r="Q136">
        <f>ROUND((Source!BZ58/100)*ROUND((Source!AF58*Source!AV58)*Source!I58, 2), 2)</f>
        <v>33492.480000000003</v>
      </c>
      <c r="R136">
        <f>Source!X58</f>
        <v>33492.480000000003</v>
      </c>
      <c r="S136">
        <f>ROUND((Source!CA58/100)*ROUND((Source!AF58*Source!AV58)*Source!I58, 2), 2)</f>
        <v>4784.6400000000003</v>
      </c>
      <c r="T136">
        <f>Source!Y58</f>
        <v>4784.6400000000003</v>
      </c>
      <c r="U136">
        <f>ROUND((175/100)*ROUND((Source!AE58*Source!AV58)*Source!I58, 2), 2)</f>
        <v>0</v>
      </c>
      <c r="V136">
        <f>ROUND((108/100)*ROUND(Source!CS58*Source!I58, 2), 2)</f>
        <v>0</v>
      </c>
    </row>
    <row r="137" spans="1:22" ht="14.25" x14ac:dyDescent="0.2">
      <c r="A137" s="18"/>
      <c r="B137" s="18"/>
      <c r="C137" s="18" t="s">
        <v>351</v>
      </c>
      <c r="D137" s="19"/>
      <c r="E137" s="8"/>
      <c r="F137" s="21">
        <f>Source!AO58</f>
        <v>598.08000000000004</v>
      </c>
      <c r="G137" s="20" t="str">
        <f>Source!DG58</f>
        <v/>
      </c>
      <c r="H137" s="8">
        <f>Source!AV58</f>
        <v>1</v>
      </c>
      <c r="I137" s="8">
        <f>IF(Source!BA58&lt;&gt; 0, Source!BA58, 1)</f>
        <v>1</v>
      </c>
      <c r="J137" s="21">
        <f>Source!S58</f>
        <v>47846.400000000001</v>
      </c>
      <c r="K137" s="21"/>
    </row>
    <row r="138" spans="1:22" ht="42.75" x14ac:dyDescent="0.2">
      <c r="A138" s="18" t="s">
        <v>128</v>
      </c>
      <c r="B138" s="18" t="str">
        <f>Source!F59</f>
        <v>Цена поставщика</v>
      </c>
      <c r="C138" s="18" t="s">
        <v>377</v>
      </c>
      <c r="D138" s="19" t="str">
        <f>Source!H59</f>
        <v>шт.</v>
      </c>
      <c r="E138" s="8">
        <f>Source!I59</f>
        <v>80</v>
      </c>
      <c r="F138" s="21">
        <f>Source!AK59</f>
        <v>13580.55</v>
      </c>
      <c r="G138" s="23" t="s">
        <v>3</v>
      </c>
      <c r="H138" s="8">
        <f>Source!AW59</f>
        <v>1</v>
      </c>
      <c r="I138" s="8">
        <f>IF(Source!BC59&lt;&gt; 0, Source!BC59, 1)</f>
        <v>1</v>
      </c>
      <c r="J138" s="21">
        <f>Source!O59</f>
        <v>1086444</v>
      </c>
      <c r="K138" s="21"/>
      <c r="Q138">
        <f>ROUND((Source!BZ59/100)*ROUND((Source!AF59*Source!AV59)*Source!I59, 2), 2)</f>
        <v>0</v>
      </c>
      <c r="R138">
        <f>Source!X59</f>
        <v>0</v>
      </c>
      <c r="S138">
        <f>ROUND((Source!CA59/100)*ROUND((Source!AF59*Source!AV59)*Source!I59, 2), 2)</f>
        <v>0</v>
      </c>
      <c r="T138">
        <f>Source!Y59</f>
        <v>0</v>
      </c>
      <c r="U138">
        <f>ROUND((175/100)*ROUND((Source!AE59*Source!AV59)*Source!I59, 2), 2)</f>
        <v>0</v>
      </c>
      <c r="V138">
        <f>ROUND((108/100)*ROUND(Source!CS59*Source!I59, 2), 2)</f>
        <v>0</v>
      </c>
    </row>
    <row r="139" spans="1:22" ht="14.25" x14ac:dyDescent="0.2">
      <c r="A139" s="18"/>
      <c r="B139" s="18"/>
      <c r="C139" s="18" t="s">
        <v>355</v>
      </c>
      <c r="D139" s="19" t="s">
        <v>356</v>
      </c>
      <c r="E139" s="8">
        <f>Source!AT58</f>
        <v>70</v>
      </c>
      <c r="F139" s="21"/>
      <c r="G139" s="20"/>
      <c r="H139" s="8"/>
      <c r="I139" s="8"/>
      <c r="J139" s="21">
        <f>SUM(R136:R138)</f>
        <v>33492.480000000003</v>
      </c>
      <c r="K139" s="21"/>
    </row>
    <row r="140" spans="1:22" ht="14.25" x14ac:dyDescent="0.2">
      <c r="A140" s="18"/>
      <c r="B140" s="18"/>
      <c r="C140" s="18" t="s">
        <v>357</v>
      </c>
      <c r="D140" s="19" t="s">
        <v>356</v>
      </c>
      <c r="E140" s="8">
        <f>Source!AU58</f>
        <v>10</v>
      </c>
      <c r="F140" s="21"/>
      <c r="G140" s="20"/>
      <c r="H140" s="8"/>
      <c r="I140" s="8"/>
      <c r="J140" s="21">
        <f>SUM(T136:T139)</f>
        <v>4784.6400000000003</v>
      </c>
      <c r="K140" s="21"/>
    </row>
    <row r="141" spans="1:22" ht="14.25" x14ac:dyDescent="0.2">
      <c r="A141" s="18"/>
      <c r="B141" s="18"/>
      <c r="C141" s="18" t="s">
        <v>359</v>
      </c>
      <c r="D141" s="19" t="s">
        <v>360</v>
      </c>
      <c r="E141" s="8">
        <f>Source!AQ58</f>
        <v>1.18</v>
      </c>
      <c r="F141" s="21"/>
      <c r="G141" s="20" t="str">
        <f>Source!DI58</f>
        <v/>
      </c>
      <c r="H141" s="8">
        <f>Source!AV58</f>
        <v>1</v>
      </c>
      <c r="I141" s="8"/>
      <c r="J141" s="21"/>
      <c r="K141" s="21">
        <f>Source!U58</f>
        <v>94.399999999999991</v>
      </c>
    </row>
    <row r="142" spans="1:22" ht="15" x14ac:dyDescent="0.25">
      <c r="A142" s="26"/>
      <c r="B142" s="26"/>
      <c r="C142" s="26"/>
      <c r="D142" s="26"/>
      <c r="E142" s="26"/>
      <c r="F142" s="26"/>
      <c r="G142" s="26"/>
      <c r="H142" s="26"/>
      <c r="I142" s="56">
        <f>J137+J139+J140+SUM(J138:J138)</f>
        <v>1172567.52</v>
      </c>
      <c r="J142" s="56"/>
      <c r="K142" s="27">
        <f>IF(Source!I58&lt;&gt;0, ROUND(I142/Source!I58, 2), 0)</f>
        <v>14657.09</v>
      </c>
      <c r="P142" s="24">
        <f>I142</f>
        <v>1172567.52</v>
      </c>
    </row>
    <row r="143" spans="1:22" ht="42.75" x14ac:dyDescent="0.2">
      <c r="A143" s="18">
        <v>11</v>
      </c>
      <c r="B143" s="18" t="str">
        <f>Source!F60</f>
        <v>1.20-3103-6-7/1</v>
      </c>
      <c r="C143" s="18" t="str">
        <f>Source!G60</f>
        <v>Установка прожектора на стальной мачте отдельно, с лампой мощностью 500 Вт / прим. 100 Вт</v>
      </c>
      <c r="D143" s="19" t="str">
        <f>Source!H60</f>
        <v>100 шт.</v>
      </c>
      <c r="E143" s="8">
        <f>Source!I60</f>
        <v>0.16</v>
      </c>
      <c r="F143" s="21"/>
      <c r="G143" s="20"/>
      <c r="H143" s="8"/>
      <c r="I143" s="8"/>
      <c r="J143" s="21"/>
      <c r="K143" s="21"/>
      <c r="Q143">
        <f>ROUND((Source!BZ60/100)*ROUND((Source!AF60*Source!AV60)*Source!I60, 2), 2)</f>
        <v>27029.14</v>
      </c>
      <c r="R143">
        <f>Source!X60</f>
        <v>27029.14</v>
      </c>
      <c r="S143">
        <f>ROUND((Source!CA60/100)*ROUND((Source!AF60*Source!AV60)*Source!I60, 2), 2)</f>
        <v>3861.31</v>
      </c>
      <c r="T143">
        <f>Source!Y60</f>
        <v>3861.31</v>
      </c>
      <c r="U143">
        <f>ROUND((175/100)*ROUND((Source!AE60*Source!AV60)*Source!I60, 2), 2)</f>
        <v>47621.19</v>
      </c>
      <c r="V143">
        <f>ROUND((108/100)*ROUND(Source!CS60*Source!I60, 2), 2)</f>
        <v>29389.08</v>
      </c>
    </row>
    <row r="144" spans="1:22" x14ac:dyDescent="0.2">
      <c r="C144" s="28" t="str">
        <f>"Объем: "&amp;Source!I60&amp;"=16/"&amp;"100"</f>
        <v>Объем: 0,16=16/100</v>
      </c>
    </row>
    <row r="145" spans="1:22" ht="14.25" x14ac:dyDescent="0.2">
      <c r="A145" s="18"/>
      <c r="B145" s="18"/>
      <c r="C145" s="18" t="s">
        <v>351</v>
      </c>
      <c r="D145" s="19"/>
      <c r="E145" s="8"/>
      <c r="F145" s="21">
        <f>Source!AO60</f>
        <v>241331.63</v>
      </c>
      <c r="G145" s="20" t="str">
        <f>Source!DG60</f>
        <v/>
      </c>
      <c r="H145" s="8">
        <f>Source!AV60</f>
        <v>1</v>
      </c>
      <c r="I145" s="8">
        <f>IF(Source!BA60&lt;&gt; 0, Source!BA60, 1)</f>
        <v>1</v>
      </c>
      <c r="J145" s="21">
        <f>Source!S60</f>
        <v>38613.06</v>
      </c>
      <c r="K145" s="21"/>
    </row>
    <row r="146" spans="1:22" ht="14.25" x14ac:dyDescent="0.2">
      <c r="A146" s="18"/>
      <c r="B146" s="18"/>
      <c r="C146" s="18" t="s">
        <v>352</v>
      </c>
      <c r="D146" s="19"/>
      <c r="E146" s="8"/>
      <c r="F146" s="21">
        <f>Source!AM60</f>
        <v>342931.56</v>
      </c>
      <c r="G146" s="20" t="str">
        <f>Source!DE60</f>
        <v/>
      </c>
      <c r="H146" s="8">
        <f>Source!AV60</f>
        <v>1</v>
      </c>
      <c r="I146" s="8">
        <f>IF(Source!BB60&lt;&gt; 0, Source!BB60, 1)</f>
        <v>1</v>
      </c>
      <c r="J146" s="21">
        <f>Source!Q60</f>
        <v>54869.05</v>
      </c>
      <c r="K146" s="21"/>
    </row>
    <row r="147" spans="1:22" ht="14.25" x14ac:dyDescent="0.2">
      <c r="A147" s="18"/>
      <c r="B147" s="18"/>
      <c r="C147" s="18" t="s">
        <v>353</v>
      </c>
      <c r="D147" s="19"/>
      <c r="E147" s="8"/>
      <c r="F147" s="21">
        <f>Source!AN60</f>
        <v>170075.68</v>
      </c>
      <c r="G147" s="20" t="str">
        <f>Source!DF60</f>
        <v/>
      </c>
      <c r="H147" s="8">
        <f>Source!AV60</f>
        <v>1</v>
      </c>
      <c r="I147" s="8">
        <f>IF(Source!BS60&lt;&gt; 0, Source!BS60, 1)</f>
        <v>1</v>
      </c>
      <c r="J147" s="22">
        <f>Source!R60</f>
        <v>27212.11</v>
      </c>
      <c r="K147" s="21"/>
    </row>
    <row r="148" spans="1:22" ht="28.5" x14ac:dyDescent="0.2">
      <c r="A148" s="18" t="s">
        <v>135</v>
      </c>
      <c r="B148" s="18" t="str">
        <f>Source!F61</f>
        <v>21.21-5-283</v>
      </c>
      <c r="C148" s="18" t="str">
        <f>Source!G61</f>
        <v>Предохранители ПН-2 на номинальное напряжение 500 В, тип ПН-2-100</v>
      </c>
      <c r="D148" s="19" t="str">
        <f>Source!H61</f>
        <v>шт.</v>
      </c>
      <c r="E148" s="8">
        <f>Source!I61</f>
        <v>16</v>
      </c>
      <c r="F148" s="21">
        <f>Source!AK61</f>
        <v>85.39</v>
      </c>
      <c r="G148" s="23" t="s">
        <v>3</v>
      </c>
      <c r="H148" s="8">
        <f>Source!AW61</f>
        <v>1</v>
      </c>
      <c r="I148" s="8">
        <f>IF(Source!BC61&lt;&gt; 0, Source!BC61, 1)</f>
        <v>1</v>
      </c>
      <c r="J148" s="21">
        <f>Source!O61</f>
        <v>1366.24</v>
      </c>
      <c r="K148" s="21"/>
      <c r="Q148">
        <f>ROUND((Source!BZ61/100)*ROUND((Source!AF61*Source!AV61)*Source!I61, 2), 2)</f>
        <v>0</v>
      </c>
      <c r="R148">
        <f>Source!X61</f>
        <v>0</v>
      </c>
      <c r="S148">
        <f>ROUND((Source!CA61/100)*ROUND((Source!AF61*Source!AV61)*Source!I61, 2), 2)</f>
        <v>0</v>
      </c>
      <c r="T148">
        <f>Source!Y61</f>
        <v>0</v>
      </c>
      <c r="U148">
        <f>ROUND((175/100)*ROUND((Source!AE61*Source!AV61)*Source!I61, 2), 2)</f>
        <v>0</v>
      </c>
      <c r="V148">
        <f>ROUND((108/100)*ROUND(Source!CS61*Source!I61, 2), 2)</f>
        <v>0</v>
      </c>
    </row>
    <row r="149" spans="1:22" ht="28.5" x14ac:dyDescent="0.2">
      <c r="A149" s="18" t="s">
        <v>139</v>
      </c>
      <c r="B149" s="18" t="str">
        <f>Source!F62</f>
        <v>21.21-5-417</v>
      </c>
      <c r="C149" s="18" t="str">
        <f>Source!G62</f>
        <v>Шина нулевая 6х9 мм на двух угловых пластиковых изоляторах, 4 группы</v>
      </c>
      <c r="D149" s="19" t="str">
        <f>Source!H62</f>
        <v>шт.</v>
      </c>
      <c r="E149" s="8">
        <f>Source!I62</f>
        <v>16</v>
      </c>
      <c r="F149" s="21">
        <f>Source!AK62</f>
        <v>58.43</v>
      </c>
      <c r="G149" s="23" t="s">
        <v>3</v>
      </c>
      <c r="H149" s="8">
        <f>Source!AW62</f>
        <v>1</v>
      </c>
      <c r="I149" s="8">
        <f>IF(Source!BC62&lt;&gt; 0, Source!BC62, 1)</f>
        <v>1</v>
      </c>
      <c r="J149" s="21">
        <f>Source!O62</f>
        <v>934.88</v>
      </c>
      <c r="K149" s="21"/>
      <c r="Q149">
        <f>ROUND((Source!BZ62/100)*ROUND((Source!AF62*Source!AV62)*Source!I62, 2), 2)</f>
        <v>0</v>
      </c>
      <c r="R149">
        <f>Source!X62</f>
        <v>0</v>
      </c>
      <c r="S149">
        <f>ROUND((Source!CA62/100)*ROUND((Source!AF62*Source!AV62)*Source!I62, 2), 2)</f>
        <v>0</v>
      </c>
      <c r="T149">
        <f>Source!Y62</f>
        <v>0</v>
      </c>
      <c r="U149">
        <f>ROUND((175/100)*ROUND((Source!AE62*Source!AV62)*Source!I62, 2), 2)</f>
        <v>0</v>
      </c>
      <c r="V149">
        <f>ROUND((108/100)*ROUND(Source!CS62*Source!I62, 2), 2)</f>
        <v>0</v>
      </c>
    </row>
    <row r="150" spans="1:22" ht="57" x14ac:dyDescent="0.2">
      <c r="A150" s="18" t="s">
        <v>143</v>
      </c>
      <c r="B150" s="18" t="str">
        <f>Source!F63</f>
        <v>21.21-5-89</v>
      </c>
      <c r="C150" s="18" t="str">
        <f>Source!G63</f>
        <v>Коробки монтажные установочные пластмассовые, диаметр 60 мм, глубина 40 мм / прим. колпак силиконовый</v>
      </c>
      <c r="D150" s="19" t="str">
        <f>Source!H63</f>
        <v>шт.</v>
      </c>
      <c r="E150" s="8">
        <f>Source!I63</f>
        <v>64</v>
      </c>
      <c r="F150" s="21">
        <f>Source!AK63</f>
        <v>157.72999999999999</v>
      </c>
      <c r="G150" s="23" t="s">
        <v>3</v>
      </c>
      <c r="H150" s="8">
        <f>Source!AW63</f>
        <v>1</v>
      </c>
      <c r="I150" s="8">
        <f>IF(Source!BC63&lt;&gt; 0, Source!BC63, 1)</f>
        <v>1</v>
      </c>
      <c r="J150" s="21">
        <f>Source!O63</f>
        <v>10094.719999999999</v>
      </c>
      <c r="K150" s="21"/>
      <c r="Q150">
        <f>ROUND((Source!BZ63/100)*ROUND((Source!AF63*Source!AV63)*Source!I63, 2), 2)</f>
        <v>0</v>
      </c>
      <c r="R150">
        <f>Source!X63</f>
        <v>0</v>
      </c>
      <c r="S150">
        <f>ROUND((Source!CA63/100)*ROUND((Source!AF63*Source!AV63)*Source!I63, 2), 2)</f>
        <v>0</v>
      </c>
      <c r="T150">
        <f>Source!Y63</f>
        <v>0</v>
      </c>
      <c r="U150">
        <f>ROUND((175/100)*ROUND((Source!AE63*Source!AV63)*Source!I63, 2), 2)</f>
        <v>0</v>
      </c>
      <c r="V150">
        <f>ROUND((108/100)*ROUND(Source!CS63*Source!I63, 2), 2)</f>
        <v>0</v>
      </c>
    </row>
    <row r="151" spans="1:22" ht="42.75" x14ac:dyDescent="0.2">
      <c r="A151" s="18" t="s">
        <v>147</v>
      </c>
      <c r="B151" s="18" t="str">
        <f>Source!F64</f>
        <v>21.21-5-420</v>
      </c>
      <c r="C151" s="18" t="str">
        <f>Source!G64</f>
        <v>Колодки клеммные для сетей наружного освещения, винтовые, количество контактов 4</v>
      </c>
      <c r="D151" s="19" t="str">
        <f>Source!H64</f>
        <v>шт.</v>
      </c>
      <c r="E151" s="8">
        <f>Source!I64</f>
        <v>16</v>
      </c>
      <c r="F151" s="21">
        <f>Source!AK64</f>
        <v>212.7</v>
      </c>
      <c r="G151" s="23" t="s">
        <v>3</v>
      </c>
      <c r="H151" s="8">
        <f>Source!AW64</f>
        <v>1</v>
      </c>
      <c r="I151" s="8">
        <f>IF(Source!BC64&lt;&gt; 0, Source!BC64, 1)</f>
        <v>1</v>
      </c>
      <c r="J151" s="21">
        <f>Source!O64</f>
        <v>3403.2</v>
      </c>
      <c r="K151" s="21"/>
      <c r="Q151">
        <f>ROUND((Source!BZ64/100)*ROUND((Source!AF64*Source!AV64)*Source!I64, 2), 2)</f>
        <v>0</v>
      </c>
      <c r="R151">
        <f>Source!X64</f>
        <v>0</v>
      </c>
      <c r="S151">
        <f>ROUND((Source!CA64/100)*ROUND((Source!AF64*Source!AV64)*Source!I64, 2), 2)</f>
        <v>0</v>
      </c>
      <c r="T151">
        <f>Source!Y64</f>
        <v>0</v>
      </c>
      <c r="U151">
        <f>ROUND((175/100)*ROUND((Source!AE64*Source!AV64)*Source!I64, 2), 2)</f>
        <v>0</v>
      </c>
      <c r="V151">
        <f>ROUND((108/100)*ROUND(Source!CS64*Source!I64, 2), 2)</f>
        <v>0</v>
      </c>
    </row>
    <row r="152" spans="1:22" ht="71.25" x14ac:dyDescent="0.2">
      <c r="A152" s="18" t="s">
        <v>151</v>
      </c>
      <c r="B152" s="18" t="str">
        <f>Source!F65</f>
        <v>21.21-5-158</v>
      </c>
      <c r="C152" s="18" t="str">
        <f>Source!G65</f>
        <v>Муфты соединительные термоусаживаемые для соединения силовых кабелей на напряжение 6, 10 кВ, без соединителей, тип 3 Стп10-240, сечение жил 150-240 мм2</v>
      </c>
      <c r="D152" s="19" t="str">
        <f>Source!H65</f>
        <v>компл.</v>
      </c>
      <c r="E152" s="8">
        <f>Source!I65</f>
        <v>32</v>
      </c>
      <c r="F152" s="21">
        <f>Source!AK65</f>
        <v>7737.81</v>
      </c>
      <c r="G152" s="23" t="s">
        <v>3</v>
      </c>
      <c r="H152" s="8">
        <f>Source!AW65</f>
        <v>1</v>
      </c>
      <c r="I152" s="8">
        <f>IF(Source!BC65&lt;&gt; 0, Source!BC65, 1)</f>
        <v>1</v>
      </c>
      <c r="J152" s="21">
        <f>Source!O65</f>
        <v>247609.92</v>
      </c>
      <c r="K152" s="21"/>
      <c r="Q152">
        <f>ROUND((Source!BZ65/100)*ROUND((Source!AF65*Source!AV65)*Source!I65, 2), 2)</f>
        <v>0</v>
      </c>
      <c r="R152">
        <f>Source!X65</f>
        <v>0</v>
      </c>
      <c r="S152">
        <f>ROUND((Source!CA65/100)*ROUND((Source!AF65*Source!AV65)*Source!I65, 2), 2)</f>
        <v>0</v>
      </c>
      <c r="T152">
        <f>Source!Y65</f>
        <v>0</v>
      </c>
      <c r="U152">
        <f>ROUND((175/100)*ROUND((Source!AE65*Source!AV65)*Source!I65, 2), 2)</f>
        <v>0</v>
      </c>
      <c r="V152">
        <f>ROUND((108/100)*ROUND(Source!CS65*Source!I65, 2), 2)</f>
        <v>0</v>
      </c>
    </row>
    <row r="153" spans="1:22" ht="69.75" x14ac:dyDescent="0.2">
      <c r="A153" s="18" t="s">
        <v>156</v>
      </c>
      <c r="B153" s="18" t="str">
        <f>Source!F66</f>
        <v>Цена поставщика</v>
      </c>
      <c r="C153" s="18" t="s">
        <v>378</v>
      </c>
      <c r="D153" s="19" t="str">
        <f>Source!H66</f>
        <v>шт.</v>
      </c>
      <c r="E153" s="8">
        <f>Source!I66</f>
        <v>16</v>
      </c>
      <c r="F153" s="21">
        <f>Source!AK66</f>
        <v>7210.03</v>
      </c>
      <c r="G153" s="23" t="s">
        <v>3</v>
      </c>
      <c r="H153" s="8">
        <f>Source!AW66</f>
        <v>1</v>
      </c>
      <c r="I153" s="8">
        <f>IF(Source!BC66&lt;&gt; 0, Source!BC66, 1)</f>
        <v>1</v>
      </c>
      <c r="J153" s="21">
        <f>Source!O66</f>
        <v>115360.48</v>
      </c>
      <c r="K153" s="21"/>
      <c r="Q153">
        <f>ROUND((Source!BZ66/100)*ROUND((Source!AF66*Source!AV66)*Source!I66, 2), 2)</f>
        <v>0</v>
      </c>
      <c r="R153">
        <f>Source!X66</f>
        <v>0</v>
      </c>
      <c r="S153">
        <f>ROUND((Source!CA66/100)*ROUND((Source!AF66*Source!AV66)*Source!I66, 2), 2)</f>
        <v>0</v>
      </c>
      <c r="T153">
        <f>Source!Y66</f>
        <v>0</v>
      </c>
      <c r="U153">
        <f>ROUND((175/100)*ROUND((Source!AE66*Source!AV66)*Source!I66, 2), 2)</f>
        <v>0</v>
      </c>
      <c r="V153">
        <f>ROUND((108/100)*ROUND(Source!CS66*Source!I66, 2), 2)</f>
        <v>0</v>
      </c>
    </row>
    <row r="154" spans="1:22" ht="14.25" x14ac:dyDescent="0.2">
      <c r="A154" s="18"/>
      <c r="B154" s="18"/>
      <c r="C154" s="18" t="s">
        <v>355</v>
      </c>
      <c r="D154" s="19" t="s">
        <v>356</v>
      </c>
      <c r="E154" s="8">
        <f>Source!AT60</f>
        <v>70</v>
      </c>
      <c r="F154" s="21"/>
      <c r="G154" s="20"/>
      <c r="H154" s="8"/>
      <c r="I154" s="8"/>
      <c r="J154" s="21">
        <f>SUM(R143:R153)</f>
        <v>27029.14</v>
      </c>
      <c r="K154" s="21"/>
    </row>
    <row r="155" spans="1:22" ht="14.25" x14ac:dyDescent="0.2">
      <c r="A155" s="18"/>
      <c r="B155" s="18"/>
      <c r="C155" s="18" t="s">
        <v>357</v>
      </c>
      <c r="D155" s="19" t="s">
        <v>356</v>
      </c>
      <c r="E155" s="8">
        <f>Source!AU60</f>
        <v>10</v>
      </c>
      <c r="F155" s="21"/>
      <c r="G155" s="20"/>
      <c r="H155" s="8"/>
      <c r="I155" s="8"/>
      <c r="J155" s="21">
        <f>SUM(T143:T154)</f>
        <v>3861.31</v>
      </c>
      <c r="K155" s="21"/>
    </row>
    <row r="156" spans="1:22" ht="14.25" x14ac:dyDescent="0.2">
      <c r="A156" s="18"/>
      <c r="B156" s="18"/>
      <c r="C156" s="18" t="s">
        <v>358</v>
      </c>
      <c r="D156" s="19" t="s">
        <v>356</v>
      </c>
      <c r="E156" s="8">
        <f>108</f>
        <v>108</v>
      </c>
      <c r="F156" s="21"/>
      <c r="G156" s="20"/>
      <c r="H156" s="8"/>
      <c r="I156" s="8"/>
      <c r="J156" s="21">
        <f>SUM(V143:V155)</f>
        <v>29389.08</v>
      </c>
      <c r="K156" s="21"/>
    </row>
    <row r="157" spans="1:22" ht="14.25" x14ac:dyDescent="0.2">
      <c r="A157" s="18"/>
      <c r="B157" s="18"/>
      <c r="C157" s="18" t="s">
        <v>359</v>
      </c>
      <c r="D157" s="19" t="s">
        <v>360</v>
      </c>
      <c r="E157" s="8">
        <f>Source!AQ60</f>
        <v>379.5</v>
      </c>
      <c r="F157" s="21"/>
      <c r="G157" s="20" t="str">
        <f>Source!DI60</f>
        <v/>
      </c>
      <c r="H157" s="8">
        <f>Source!AV60</f>
        <v>1</v>
      </c>
      <c r="I157" s="8"/>
      <c r="J157" s="21"/>
      <c r="K157" s="21">
        <f>Source!U60</f>
        <v>60.72</v>
      </c>
    </row>
    <row r="158" spans="1:22" ht="15" x14ac:dyDescent="0.25">
      <c r="A158" s="26"/>
      <c r="B158" s="26"/>
      <c r="C158" s="26"/>
      <c r="D158" s="26"/>
      <c r="E158" s="26"/>
      <c r="F158" s="26"/>
      <c r="G158" s="26"/>
      <c r="H158" s="26"/>
      <c r="I158" s="56">
        <f>J145+J146+J154+J155+J156+SUM(J148:J153)</f>
        <v>532531.08000000007</v>
      </c>
      <c r="J158" s="56"/>
      <c r="K158" s="27">
        <f>IF(Source!I60&lt;&gt;0, ROUND(I158/Source!I60, 2), 0)</f>
        <v>3328319.25</v>
      </c>
      <c r="P158" s="24">
        <f>I158</f>
        <v>532531.08000000007</v>
      </c>
    </row>
    <row r="159" spans="1:22" ht="42.75" x14ac:dyDescent="0.2">
      <c r="A159" s="18">
        <v>12</v>
      </c>
      <c r="B159" s="18" t="str">
        <f>Source!F67</f>
        <v>1.20-3103-6-7/1</v>
      </c>
      <c r="C159" s="18" t="str">
        <f>Source!G67</f>
        <v>Установка прожектора на стальной мачте отдельно, с лампой мощностью 500 Вт / прим. 100 Вт</v>
      </c>
      <c r="D159" s="19" t="str">
        <f>Source!H67</f>
        <v>100 шт.</v>
      </c>
      <c r="E159" s="8">
        <f>Source!I67</f>
        <v>0.11</v>
      </c>
      <c r="F159" s="21"/>
      <c r="G159" s="20"/>
      <c r="H159" s="8"/>
      <c r="I159" s="8"/>
      <c r="J159" s="21"/>
      <c r="K159" s="21"/>
      <c r="Q159">
        <f>ROUND((Source!BZ67/100)*ROUND((Source!AF67*Source!AV67)*Source!I67, 2), 2)</f>
        <v>18582.54</v>
      </c>
      <c r="R159">
        <f>Source!X67</f>
        <v>18582.54</v>
      </c>
      <c r="S159">
        <f>ROUND((Source!CA67/100)*ROUND((Source!AF67*Source!AV67)*Source!I67, 2), 2)</f>
        <v>2654.65</v>
      </c>
      <c r="T159">
        <f>Source!Y67</f>
        <v>2654.65</v>
      </c>
      <c r="U159">
        <f>ROUND((175/100)*ROUND((Source!AE67*Source!AV67)*Source!I67, 2), 2)</f>
        <v>32739.56</v>
      </c>
      <c r="V159">
        <f>ROUND((108/100)*ROUND(Source!CS67*Source!I67, 2), 2)</f>
        <v>20204.990000000002</v>
      </c>
    </row>
    <row r="160" spans="1:22" x14ac:dyDescent="0.2">
      <c r="C160" s="28" t="str">
        <f>"Объем: "&amp;Source!I67&amp;"=11/"&amp;"100"</f>
        <v>Объем: 0,11=11/100</v>
      </c>
    </row>
    <row r="161" spans="1:22" ht="14.25" x14ac:dyDescent="0.2">
      <c r="A161" s="18"/>
      <c r="B161" s="18"/>
      <c r="C161" s="18" t="s">
        <v>351</v>
      </c>
      <c r="D161" s="19"/>
      <c r="E161" s="8"/>
      <c r="F161" s="21">
        <f>Source!AO67</f>
        <v>241331.63</v>
      </c>
      <c r="G161" s="20" t="str">
        <f>Source!DG67</f>
        <v/>
      </c>
      <c r="H161" s="8">
        <f>Source!AV67</f>
        <v>1</v>
      </c>
      <c r="I161" s="8">
        <f>IF(Source!BA67&lt;&gt; 0, Source!BA67, 1)</f>
        <v>1</v>
      </c>
      <c r="J161" s="21">
        <f>Source!S67</f>
        <v>26546.48</v>
      </c>
      <c r="K161" s="21"/>
    </row>
    <row r="162" spans="1:22" ht="14.25" x14ac:dyDescent="0.2">
      <c r="A162" s="18"/>
      <c r="B162" s="18"/>
      <c r="C162" s="18" t="s">
        <v>352</v>
      </c>
      <c r="D162" s="19"/>
      <c r="E162" s="8"/>
      <c r="F162" s="21">
        <f>Source!AM67</f>
        <v>342931.56</v>
      </c>
      <c r="G162" s="20" t="str">
        <f>Source!DE67</f>
        <v/>
      </c>
      <c r="H162" s="8">
        <f>Source!AV67</f>
        <v>1</v>
      </c>
      <c r="I162" s="8">
        <f>IF(Source!BB67&lt;&gt; 0, Source!BB67, 1)</f>
        <v>1</v>
      </c>
      <c r="J162" s="21">
        <f>Source!Q67</f>
        <v>37722.47</v>
      </c>
      <c r="K162" s="21"/>
    </row>
    <row r="163" spans="1:22" ht="14.25" x14ac:dyDescent="0.2">
      <c r="A163" s="18"/>
      <c r="B163" s="18"/>
      <c r="C163" s="18" t="s">
        <v>353</v>
      </c>
      <c r="D163" s="19"/>
      <c r="E163" s="8"/>
      <c r="F163" s="21">
        <f>Source!AN67</f>
        <v>170075.68</v>
      </c>
      <c r="G163" s="20" t="str">
        <f>Source!DF67</f>
        <v/>
      </c>
      <c r="H163" s="8">
        <f>Source!AV67</f>
        <v>1</v>
      </c>
      <c r="I163" s="8">
        <f>IF(Source!BS67&lt;&gt; 0, Source!BS67, 1)</f>
        <v>1</v>
      </c>
      <c r="J163" s="22">
        <f>Source!R67</f>
        <v>18708.32</v>
      </c>
      <c r="K163" s="21"/>
    </row>
    <row r="164" spans="1:22" ht="28.5" x14ac:dyDescent="0.2">
      <c r="A164" s="18" t="s">
        <v>160</v>
      </c>
      <c r="B164" s="18" t="str">
        <f>Source!F68</f>
        <v>21.21-5-283</v>
      </c>
      <c r="C164" s="18" t="str">
        <f>Source!G68</f>
        <v>Предохранители ПН-2 на номинальное напряжение 500 В, тип ПН-2-100</v>
      </c>
      <c r="D164" s="19" t="str">
        <f>Source!H68</f>
        <v>шт.</v>
      </c>
      <c r="E164" s="8">
        <f>Source!I68</f>
        <v>11</v>
      </c>
      <c r="F164" s="21">
        <f>Source!AK68</f>
        <v>85.39</v>
      </c>
      <c r="G164" s="23" t="s">
        <v>3</v>
      </c>
      <c r="H164" s="8">
        <f>Source!AW68</f>
        <v>1</v>
      </c>
      <c r="I164" s="8">
        <f>IF(Source!BC68&lt;&gt; 0, Source!BC68, 1)</f>
        <v>1</v>
      </c>
      <c r="J164" s="21">
        <f>Source!O68</f>
        <v>939.29</v>
      </c>
      <c r="K164" s="21"/>
      <c r="Q164">
        <f>ROUND((Source!BZ68/100)*ROUND((Source!AF68*Source!AV68)*Source!I68, 2), 2)</f>
        <v>0</v>
      </c>
      <c r="R164">
        <f>Source!X68</f>
        <v>0</v>
      </c>
      <c r="S164">
        <f>ROUND((Source!CA68/100)*ROUND((Source!AF68*Source!AV68)*Source!I68, 2), 2)</f>
        <v>0</v>
      </c>
      <c r="T164">
        <f>Source!Y68</f>
        <v>0</v>
      </c>
      <c r="U164">
        <f>ROUND((175/100)*ROUND((Source!AE68*Source!AV68)*Source!I68, 2), 2)</f>
        <v>0</v>
      </c>
      <c r="V164">
        <f>ROUND((108/100)*ROUND(Source!CS68*Source!I68, 2), 2)</f>
        <v>0</v>
      </c>
    </row>
    <row r="165" spans="1:22" ht="28.5" x14ac:dyDescent="0.2">
      <c r="A165" s="18" t="s">
        <v>161</v>
      </c>
      <c r="B165" s="18" t="str">
        <f>Source!F69</f>
        <v>21.21-5-417</v>
      </c>
      <c r="C165" s="18" t="str">
        <f>Source!G69</f>
        <v>Шина нулевая 6х9 мм на двух угловых пластиковых изоляторах, 4 группы</v>
      </c>
      <c r="D165" s="19" t="str">
        <f>Source!H69</f>
        <v>шт.</v>
      </c>
      <c r="E165" s="8">
        <f>Source!I69</f>
        <v>11</v>
      </c>
      <c r="F165" s="21">
        <f>Source!AK69</f>
        <v>58.43</v>
      </c>
      <c r="G165" s="23" t="s">
        <v>3</v>
      </c>
      <c r="H165" s="8">
        <f>Source!AW69</f>
        <v>1</v>
      </c>
      <c r="I165" s="8">
        <f>IF(Source!BC69&lt;&gt; 0, Source!BC69, 1)</f>
        <v>1</v>
      </c>
      <c r="J165" s="21">
        <f>Source!O69</f>
        <v>642.73</v>
      </c>
      <c r="K165" s="21"/>
      <c r="Q165">
        <f>ROUND((Source!BZ69/100)*ROUND((Source!AF69*Source!AV69)*Source!I69, 2), 2)</f>
        <v>0</v>
      </c>
      <c r="R165">
        <f>Source!X69</f>
        <v>0</v>
      </c>
      <c r="S165">
        <f>ROUND((Source!CA69/100)*ROUND((Source!AF69*Source!AV69)*Source!I69, 2), 2)</f>
        <v>0</v>
      </c>
      <c r="T165">
        <f>Source!Y69</f>
        <v>0</v>
      </c>
      <c r="U165">
        <f>ROUND((175/100)*ROUND((Source!AE69*Source!AV69)*Source!I69, 2), 2)</f>
        <v>0</v>
      </c>
      <c r="V165">
        <f>ROUND((108/100)*ROUND(Source!CS69*Source!I69, 2), 2)</f>
        <v>0</v>
      </c>
    </row>
    <row r="166" spans="1:22" ht="57" x14ac:dyDescent="0.2">
      <c r="A166" s="18" t="s">
        <v>162</v>
      </c>
      <c r="B166" s="18" t="str">
        <f>Source!F70</f>
        <v>21.21-5-89</v>
      </c>
      <c r="C166" s="18" t="str">
        <f>Source!G70</f>
        <v>Коробки монтажные установочные пластмассовые, диаметр 60 мм, глубина 40 мм / прим. колпак силиконовый</v>
      </c>
      <c r="D166" s="19" t="str">
        <f>Source!H70</f>
        <v>шт.</v>
      </c>
      <c r="E166" s="8">
        <f>Source!I70</f>
        <v>44</v>
      </c>
      <c r="F166" s="21">
        <f>Source!AK70</f>
        <v>157.72999999999999</v>
      </c>
      <c r="G166" s="23" t="s">
        <v>3</v>
      </c>
      <c r="H166" s="8">
        <f>Source!AW70</f>
        <v>1</v>
      </c>
      <c r="I166" s="8">
        <f>IF(Source!BC70&lt;&gt; 0, Source!BC70, 1)</f>
        <v>1</v>
      </c>
      <c r="J166" s="21">
        <f>Source!O70</f>
        <v>6940.12</v>
      </c>
      <c r="K166" s="21"/>
      <c r="Q166">
        <f>ROUND((Source!BZ70/100)*ROUND((Source!AF70*Source!AV70)*Source!I70, 2), 2)</f>
        <v>0</v>
      </c>
      <c r="R166">
        <f>Source!X70</f>
        <v>0</v>
      </c>
      <c r="S166">
        <f>ROUND((Source!CA70/100)*ROUND((Source!AF70*Source!AV70)*Source!I70, 2), 2)</f>
        <v>0</v>
      </c>
      <c r="T166">
        <f>Source!Y70</f>
        <v>0</v>
      </c>
      <c r="U166">
        <f>ROUND((175/100)*ROUND((Source!AE70*Source!AV70)*Source!I70, 2), 2)</f>
        <v>0</v>
      </c>
      <c r="V166">
        <f>ROUND((108/100)*ROUND(Source!CS70*Source!I70, 2), 2)</f>
        <v>0</v>
      </c>
    </row>
    <row r="167" spans="1:22" ht="42.75" x14ac:dyDescent="0.2">
      <c r="A167" s="18" t="s">
        <v>163</v>
      </c>
      <c r="B167" s="18" t="str">
        <f>Source!F71</f>
        <v>21.21-5-420</v>
      </c>
      <c r="C167" s="18" t="str">
        <f>Source!G71</f>
        <v>Колодки клеммные для сетей наружного освещения, винтовые, количество контактов 4</v>
      </c>
      <c r="D167" s="19" t="str">
        <f>Source!H71</f>
        <v>шт.</v>
      </c>
      <c r="E167" s="8">
        <f>Source!I71</f>
        <v>11</v>
      </c>
      <c r="F167" s="21">
        <f>Source!AK71</f>
        <v>212.7</v>
      </c>
      <c r="G167" s="23" t="s">
        <v>3</v>
      </c>
      <c r="H167" s="8">
        <f>Source!AW71</f>
        <v>1</v>
      </c>
      <c r="I167" s="8">
        <f>IF(Source!BC71&lt;&gt; 0, Source!BC71, 1)</f>
        <v>1</v>
      </c>
      <c r="J167" s="21">
        <f>Source!O71</f>
        <v>2339.6999999999998</v>
      </c>
      <c r="K167" s="21"/>
      <c r="Q167">
        <f>ROUND((Source!BZ71/100)*ROUND((Source!AF71*Source!AV71)*Source!I71, 2), 2)</f>
        <v>0</v>
      </c>
      <c r="R167">
        <f>Source!X71</f>
        <v>0</v>
      </c>
      <c r="S167">
        <f>ROUND((Source!CA71/100)*ROUND((Source!AF71*Source!AV71)*Source!I71, 2), 2)</f>
        <v>0</v>
      </c>
      <c r="T167">
        <f>Source!Y71</f>
        <v>0</v>
      </c>
      <c r="U167">
        <f>ROUND((175/100)*ROUND((Source!AE71*Source!AV71)*Source!I71, 2), 2)</f>
        <v>0</v>
      </c>
      <c r="V167">
        <f>ROUND((108/100)*ROUND(Source!CS71*Source!I71, 2), 2)</f>
        <v>0</v>
      </c>
    </row>
    <row r="168" spans="1:22" ht="71.25" x14ac:dyDescent="0.2">
      <c r="A168" s="18" t="s">
        <v>164</v>
      </c>
      <c r="B168" s="18" t="str">
        <f>Source!F72</f>
        <v>21.21-5-158</v>
      </c>
      <c r="C168" s="18" t="str">
        <f>Source!G72</f>
        <v>Муфты соединительные термоусаживаемые для соединения силовых кабелей на напряжение 6, 10 кВ, без соединителей, тип 3 Стп10-240, сечение жил 150-240 мм2</v>
      </c>
      <c r="D168" s="19" t="str">
        <f>Source!H72</f>
        <v>компл.</v>
      </c>
      <c r="E168" s="8">
        <f>Source!I72</f>
        <v>22</v>
      </c>
      <c r="F168" s="21">
        <f>Source!AK72</f>
        <v>7737.81</v>
      </c>
      <c r="G168" s="23" t="s">
        <v>3</v>
      </c>
      <c r="H168" s="8">
        <f>Source!AW72</f>
        <v>1</v>
      </c>
      <c r="I168" s="8">
        <f>IF(Source!BC72&lt;&gt; 0, Source!BC72, 1)</f>
        <v>1</v>
      </c>
      <c r="J168" s="21">
        <f>Source!O72</f>
        <v>170231.82</v>
      </c>
      <c r="K168" s="21"/>
      <c r="Q168">
        <f>ROUND((Source!BZ72/100)*ROUND((Source!AF72*Source!AV72)*Source!I72, 2), 2)</f>
        <v>0</v>
      </c>
      <c r="R168">
        <f>Source!X72</f>
        <v>0</v>
      </c>
      <c r="S168">
        <f>ROUND((Source!CA72/100)*ROUND((Source!AF72*Source!AV72)*Source!I72, 2), 2)</f>
        <v>0</v>
      </c>
      <c r="T168">
        <f>Source!Y72</f>
        <v>0</v>
      </c>
      <c r="U168">
        <f>ROUND((175/100)*ROUND((Source!AE72*Source!AV72)*Source!I72, 2), 2)</f>
        <v>0</v>
      </c>
      <c r="V168">
        <f>ROUND((108/100)*ROUND(Source!CS72*Source!I72, 2), 2)</f>
        <v>0</v>
      </c>
    </row>
    <row r="169" spans="1:22" ht="55.5" x14ac:dyDescent="0.2">
      <c r="A169" s="18" t="s">
        <v>165</v>
      </c>
      <c r="B169" s="18" t="str">
        <f>Source!F73</f>
        <v>Цена поставщика</v>
      </c>
      <c r="C169" s="18" t="s">
        <v>379</v>
      </c>
      <c r="D169" s="19" t="str">
        <f>Source!H73</f>
        <v>шт.</v>
      </c>
      <c r="E169" s="8">
        <f>Source!I73</f>
        <v>11</v>
      </c>
      <c r="F169" s="21">
        <f>Source!AK73</f>
        <v>9712.83</v>
      </c>
      <c r="G169" s="23" t="s">
        <v>3</v>
      </c>
      <c r="H169" s="8">
        <f>Source!AW73</f>
        <v>1</v>
      </c>
      <c r="I169" s="8">
        <f>IF(Source!BC73&lt;&gt; 0, Source!BC73, 1)</f>
        <v>1</v>
      </c>
      <c r="J169" s="21">
        <f>Source!O73</f>
        <v>106841.13</v>
      </c>
      <c r="K169" s="21"/>
      <c r="Q169">
        <f>ROUND((Source!BZ73/100)*ROUND((Source!AF73*Source!AV73)*Source!I73, 2), 2)</f>
        <v>0</v>
      </c>
      <c r="R169">
        <f>Source!X73</f>
        <v>0</v>
      </c>
      <c r="S169">
        <f>ROUND((Source!CA73/100)*ROUND((Source!AF73*Source!AV73)*Source!I73, 2), 2)</f>
        <v>0</v>
      </c>
      <c r="T169">
        <f>Source!Y73</f>
        <v>0</v>
      </c>
      <c r="U169">
        <f>ROUND((175/100)*ROUND((Source!AE73*Source!AV73)*Source!I73, 2), 2)</f>
        <v>0</v>
      </c>
      <c r="V169">
        <f>ROUND((108/100)*ROUND(Source!CS73*Source!I73, 2), 2)</f>
        <v>0</v>
      </c>
    </row>
    <row r="170" spans="1:22" ht="14.25" x14ac:dyDescent="0.2">
      <c r="A170" s="18"/>
      <c r="B170" s="18"/>
      <c r="C170" s="18" t="s">
        <v>355</v>
      </c>
      <c r="D170" s="19" t="s">
        <v>356</v>
      </c>
      <c r="E170" s="8">
        <f>Source!AT67</f>
        <v>70</v>
      </c>
      <c r="F170" s="21"/>
      <c r="G170" s="20"/>
      <c r="H170" s="8"/>
      <c r="I170" s="8"/>
      <c r="J170" s="21">
        <f>SUM(R159:R169)</f>
        <v>18582.54</v>
      </c>
      <c r="K170" s="21"/>
    </row>
    <row r="171" spans="1:22" ht="14.25" x14ac:dyDescent="0.2">
      <c r="A171" s="18"/>
      <c r="B171" s="18"/>
      <c r="C171" s="18" t="s">
        <v>357</v>
      </c>
      <c r="D171" s="19" t="s">
        <v>356</v>
      </c>
      <c r="E171" s="8">
        <f>Source!AU67</f>
        <v>10</v>
      </c>
      <c r="F171" s="21"/>
      <c r="G171" s="20"/>
      <c r="H171" s="8"/>
      <c r="I171" s="8"/>
      <c r="J171" s="21">
        <f>SUM(T159:T170)</f>
        <v>2654.65</v>
      </c>
      <c r="K171" s="21"/>
    </row>
    <row r="172" spans="1:22" ht="14.25" x14ac:dyDescent="0.2">
      <c r="A172" s="18"/>
      <c r="B172" s="18"/>
      <c r="C172" s="18" t="s">
        <v>358</v>
      </c>
      <c r="D172" s="19" t="s">
        <v>356</v>
      </c>
      <c r="E172" s="8">
        <f>108</f>
        <v>108</v>
      </c>
      <c r="F172" s="21"/>
      <c r="G172" s="20"/>
      <c r="H172" s="8"/>
      <c r="I172" s="8"/>
      <c r="J172" s="21">
        <f>SUM(V159:V171)</f>
        <v>20204.990000000002</v>
      </c>
      <c r="K172" s="21"/>
    </row>
    <row r="173" spans="1:22" ht="14.25" x14ac:dyDescent="0.2">
      <c r="A173" s="18"/>
      <c r="B173" s="18"/>
      <c r="C173" s="18" t="s">
        <v>359</v>
      </c>
      <c r="D173" s="19" t="s">
        <v>360</v>
      </c>
      <c r="E173" s="8">
        <f>Source!AQ67</f>
        <v>379.5</v>
      </c>
      <c r="F173" s="21"/>
      <c r="G173" s="20" t="str">
        <f>Source!DI67</f>
        <v/>
      </c>
      <c r="H173" s="8">
        <f>Source!AV67</f>
        <v>1</v>
      </c>
      <c r="I173" s="8"/>
      <c r="J173" s="21"/>
      <c r="K173" s="21">
        <f>Source!U67</f>
        <v>41.744999999999997</v>
      </c>
    </row>
    <row r="174" spans="1:22" ht="15" x14ac:dyDescent="0.25">
      <c r="A174" s="26"/>
      <c r="B174" s="26"/>
      <c r="C174" s="26"/>
      <c r="D174" s="26"/>
      <c r="E174" s="26"/>
      <c r="F174" s="26"/>
      <c r="G174" s="26"/>
      <c r="H174" s="26"/>
      <c r="I174" s="56">
        <f>J161+J162+J170+J171+J172+SUM(J164:J169)</f>
        <v>393645.92000000004</v>
      </c>
      <c r="J174" s="56"/>
      <c r="K174" s="27">
        <f>IF(Source!I67&lt;&gt;0, ROUND(I174/Source!I67, 2), 0)</f>
        <v>3578599.27</v>
      </c>
      <c r="P174" s="24">
        <f>I174</f>
        <v>393645.92000000004</v>
      </c>
    </row>
    <row r="175" spans="1:22" ht="42.75" x14ac:dyDescent="0.2">
      <c r="A175" s="18">
        <v>13</v>
      </c>
      <c r="B175" s="18" t="str">
        <f>Source!F74</f>
        <v>1.20-3103-6-7/1</v>
      </c>
      <c r="C175" s="18" t="str">
        <f>Source!G74</f>
        <v>Установка прожектора на стальной мачте отдельно, с лампой мощностью 500 Вт / прим. 100 Вт</v>
      </c>
      <c r="D175" s="19" t="str">
        <f>Source!H74</f>
        <v>100 шт.</v>
      </c>
      <c r="E175" s="8">
        <f>Source!I74</f>
        <v>0.65</v>
      </c>
      <c r="F175" s="21"/>
      <c r="G175" s="20"/>
      <c r="H175" s="8"/>
      <c r="I175" s="8"/>
      <c r="J175" s="21"/>
      <c r="K175" s="21"/>
      <c r="Q175">
        <f>ROUND((Source!BZ74/100)*ROUND((Source!AF74*Source!AV74)*Source!I74, 2), 2)</f>
        <v>109805.89</v>
      </c>
      <c r="R175">
        <f>Source!X74</f>
        <v>109805.89</v>
      </c>
      <c r="S175">
        <f>ROUND((Source!CA74/100)*ROUND((Source!AF74*Source!AV74)*Source!I74, 2), 2)</f>
        <v>15686.56</v>
      </c>
      <c r="T175">
        <f>Source!Y74</f>
        <v>15686.56</v>
      </c>
      <c r="U175">
        <f>ROUND((175/100)*ROUND((Source!AE74*Source!AV74)*Source!I74, 2), 2)</f>
        <v>193461.08</v>
      </c>
      <c r="V175">
        <f>ROUND((108/100)*ROUND(Source!CS74*Source!I74, 2), 2)</f>
        <v>119393.13</v>
      </c>
    </row>
    <row r="176" spans="1:22" x14ac:dyDescent="0.2">
      <c r="C176" s="28" t="str">
        <f>"Объем: "&amp;Source!I74&amp;"=65/"&amp;"100"</f>
        <v>Объем: 0,65=65/100</v>
      </c>
    </row>
    <row r="177" spans="1:22" ht="14.25" x14ac:dyDescent="0.2">
      <c r="A177" s="18"/>
      <c r="B177" s="18"/>
      <c r="C177" s="18" t="s">
        <v>351</v>
      </c>
      <c r="D177" s="19"/>
      <c r="E177" s="8"/>
      <c r="F177" s="21">
        <f>Source!AO74</f>
        <v>241331.63</v>
      </c>
      <c r="G177" s="20" t="str">
        <f>Source!DG74</f>
        <v/>
      </c>
      <c r="H177" s="8">
        <f>Source!AV74</f>
        <v>1</v>
      </c>
      <c r="I177" s="8">
        <f>IF(Source!BA74&lt;&gt; 0, Source!BA74, 1)</f>
        <v>1</v>
      </c>
      <c r="J177" s="21">
        <f>Source!S74</f>
        <v>156865.56</v>
      </c>
      <c r="K177" s="21"/>
    </row>
    <row r="178" spans="1:22" ht="14.25" x14ac:dyDescent="0.2">
      <c r="A178" s="18"/>
      <c r="B178" s="18"/>
      <c r="C178" s="18" t="s">
        <v>352</v>
      </c>
      <c r="D178" s="19"/>
      <c r="E178" s="8"/>
      <c r="F178" s="21">
        <f>Source!AM74</f>
        <v>342931.56</v>
      </c>
      <c r="G178" s="20" t="str">
        <f>Source!DE74</f>
        <v/>
      </c>
      <c r="H178" s="8">
        <f>Source!AV74</f>
        <v>1</v>
      </c>
      <c r="I178" s="8">
        <f>IF(Source!BB74&lt;&gt; 0, Source!BB74, 1)</f>
        <v>1</v>
      </c>
      <c r="J178" s="21">
        <f>Source!Q74</f>
        <v>222905.51</v>
      </c>
      <c r="K178" s="21"/>
    </row>
    <row r="179" spans="1:22" ht="14.25" x14ac:dyDescent="0.2">
      <c r="A179" s="18"/>
      <c r="B179" s="18"/>
      <c r="C179" s="18" t="s">
        <v>353</v>
      </c>
      <c r="D179" s="19"/>
      <c r="E179" s="8"/>
      <c r="F179" s="21">
        <f>Source!AN74</f>
        <v>170075.68</v>
      </c>
      <c r="G179" s="20" t="str">
        <f>Source!DF74</f>
        <v/>
      </c>
      <c r="H179" s="8">
        <f>Source!AV74</f>
        <v>1</v>
      </c>
      <c r="I179" s="8">
        <f>IF(Source!BS74&lt;&gt; 0, Source!BS74, 1)</f>
        <v>1</v>
      </c>
      <c r="J179" s="22">
        <f>Source!R74</f>
        <v>110549.19</v>
      </c>
      <c r="K179" s="21"/>
    </row>
    <row r="180" spans="1:22" ht="28.5" x14ac:dyDescent="0.2">
      <c r="A180" s="18" t="s">
        <v>169</v>
      </c>
      <c r="B180" s="18" t="str">
        <f>Source!F75</f>
        <v>21.21-5-283</v>
      </c>
      <c r="C180" s="18" t="str">
        <f>Source!G75</f>
        <v>Предохранители ПН-2 на номинальное напряжение 500 В, тип ПН-2-100</v>
      </c>
      <c r="D180" s="19" t="str">
        <f>Source!H75</f>
        <v>шт.</v>
      </c>
      <c r="E180" s="8">
        <f>Source!I75</f>
        <v>65</v>
      </c>
      <c r="F180" s="21">
        <f>Source!AK75</f>
        <v>85.39</v>
      </c>
      <c r="G180" s="23" t="s">
        <v>3</v>
      </c>
      <c r="H180" s="8">
        <f>Source!AW75</f>
        <v>1</v>
      </c>
      <c r="I180" s="8">
        <f>IF(Source!BC75&lt;&gt; 0, Source!BC75, 1)</f>
        <v>1</v>
      </c>
      <c r="J180" s="21">
        <f>Source!O75</f>
        <v>5550.35</v>
      </c>
      <c r="K180" s="21"/>
      <c r="Q180">
        <f>ROUND((Source!BZ75/100)*ROUND((Source!AF75*Source!AV75)*Source!I75, 2), 2)</f>
        <v>0</v>
      </c>
      <c r="R180">
        <f>Source!X75</f>
        <v>0</v>
      </c>
      <c r="S180">
        <f>ROUND((Source!CA75/100)*ROUND((Source!AF75*Source!AV75)*Source!I75, 2), 2)</f>
        <v>0</v>
      </c>
      <c r="T180">
        <f>Source!Y75</f>
        <v>0</v>
      </c>
      <c r="U180">
        <f>ROUND((175/100)*ROUND((Source!AE75*Source!AV75)*Source!I75, 2), 2)</f>
        <v>0</v>
      </c>
      <c r="V180">
        <f>ROUND((108/100)*ROUND(Source!CS75*Source!I75, 2), 2)</f>
        <v>0</v>
      </c>
    </row>
    <row r="181" spans="1:22" ht="28.5" x14ac:dyDescent="0.2">
      <c r="A181" s="18" t="s">
        <v>170</v>
      </c>
      <c r="B181" s="18" t="str">
        <f>Source!F76</f>
        <v>21.21-5-417</v>
      </c>
      <c r="C181" s="18" t="str">
        <f>Source!G76</f>
        <v>Шина нулевая 6х9 мм на двух угловых пластиковых изоляторах, 4 группы</v>
      </c>
      <c r="D181" s="19" t="str">
        <f>Source!H76</f>
        <v>шт.</v>
      </c>
      <c r="E181" s="8">
        <f>Source!I76</f>
        <v>65</v>
      </c>
      <c r="F181" s="21">
        <f>Source!AK76</f>
        <v>58.43</v>
      </c>
      <c r="G181" s="23" t="s">
        <v>3</v>
      </c>
      <c r="H181" s="8">
        <f>Source!AW76</f>
        <v>1</v>
      </c>
      <c r="I181" s="8">
        <f>IF(Source!BC76&lt;&gt; 0, Source!BC76, 1)</f>
        <v>1</v>
      </c>
      <c r="J181" s="21">
        <f>Source!O76</f>
        <v>3797.95</v>
      </c>
      <c r="K181" s="21"/>
      <c r="Q181">
        <f>ROUND((Source!BZ76/100)*ROUND((Source!AF76*Source!AV76)*Source!I76, 2), 2)</f>
        <v>0</v>
      </c>
      <c r="R181">
        <f>Source!X76</f>
        <v>0</v>
      </c>
      <c r="S181">
        <f>ROUND((Source!CA76/100)*ROUND((Source!AF76*Source!AV76)*Source!I76, 2), 2)</f>
        <v>0</v>
      </c>
      <c r="T181">
        <f>Source!Y76</f>
        <v>0</v>
      </c>
      <c r="U181">
        <f>ROUND((175/100)*ROUND((Source!AE76*Source!AV76)*Source!I76, 2), 2)</f>
        <v>0</v>
      </c>
      <c r="V181">
        <f>ROUND((108/100)*ROUND(Source!CS76*Source!I76, 2), 2)</f>
        <v>0</v>
      </c>
    </row>
    <row r="182" spans="1:22" ht="57" x14ac:dyDescent="0.2">
      <c r="A182" s="18" t="s">
        <v>171</v>
      </c>
      <c r="B182" s="18" t="str">
        <f>Source!F77</f>
        <v>21.21-5-89</v>
      </c>
      <c r="C182" s="18" t="str">
        <f>Source!G77</f>
        <v>Коробки монтажные установочные пластмассовые, диаметр 60 мм, глубина 40 мм / прим. колпак силиконовый</v>
      </c>
      <c r="D182" s="19" t="str">
        <f>Source!H77</f>
        <v>шт.</v>
      </c>
      <c r="E182" s="8">
        <f>Source!I77</f>
        <v>260</v>
      </c>
      <c r="F182" s="21">
        <f>Source!AK77</f>
        <v>157.72999999999999</v>
      </c>
      <c r="G182" s="23" t="s">
        <v>3</v>
      </c>
      <c r="H182" s="8">
        <f>Source!AW77</f>
        <v>1</v>
      </c>
      <c r="I182" s="8">
        <f>IF(Source!BC77&lt;&gt; 0, Source!BC77, 1)</f>
        <v>1</v>
      </c>
      <c r="J182" s="21">
        <f>Source!O77</f>
        <v>41009.800000000003</v>
      </c>
      <c r="K182" s="21"/>
      <c r="Q182">
        <f>ROUND((Source!BZ77/100)*ROUND((Source!AF77*Source!AV77)*Source!I77, 2), 2)</f>
        <v>0</v>
      </c>
      <c r="R182">
        <f>Source!X77</f>
        <v>0</v>
      </c>
      <c r="S182">
        <f>ROUND((Source!CA77/100)*ROUND((Source!AF77*Source!AV77)*Source!I77, 2), 2)</f>
        <v>0</v>
      </c>
      <c r="T182">
        <f>Source!Y77</f>
        <v>0</v>
      </c>
      <c r="U182">
        <f>ROUND((175/100)*ROUND((Source!AE77*Source!AV77)*Source!I77, 2), 2)</f>
        <v>0</v>
      </c>
      <c r="V182">
        <f>ROUND((108/100)*ROUND(Source!CS77*Source!I77, 2), 2)</f>
        <v>0</v>
      </c>
    </row>
    <row r="183" spans="1:22" ht="42.75" x14ac:dyDescent="0.2">
      <c r="A183" s="18" t="s">
        <v>172</v>
      </c>
      <c r="B183" s="18" t="str">
        <f>Source!F78</f>
        <v>21.21-5-420</v>
      </c>
      <c r="C183" s="18" t="str">
        <f>Source!G78</f>
        <v>Колодки клеммные для сетей наружного освещения, винтовые, количество контактов 4</v>
      </c>
      <c r="D183" s="19" t="str">
        <f>Source!H78</f>
        <v>шт.</v>
      </c>
      <c r="E183" s="8">
        <f>Source!I78</f>
        <v>65</v>
      </c>
      <c r="F183" s="21">
        <f>Source!AK78</f>
        <v>212.7</v>
      </c>
      <c r="G183" s="23" t="s">
        <v>3</v>
      </c>
      <c r="H183" s="8">
        <f>Source!AW78</f>
        <v>1</v>
      </c>
      <c r="I183" s="8">
        <f>IF(Source!BC78&lt;&gt; 0, Source!BC78, 1)</f>
        <v>1</v>
      </c>
      <c r="J183" s="21">
        <f>Source!O78</f>
        <v>13825.5</v>
      </c>
      <c r="K183" s="21"/>
      <c r="Q183">
        <f>ROUND((Source!BZ78/100)*ROUND((Source!AF78*Source!AV78)*Source!I78, 2), 2)</f>
        <v>0</v>
      </c>
      <c r="R183">
        <f>Source!X78</f>
        <v>0</v>
      </c>
      <c r="S183">
        <f>ROUND((Source!CA78/100)*ROUND((Source!AF78*Source!AV78)*Source!I78, 2), 2)</f>
        <v>0</v>
      </c>
      <c r="T183">
        <f>Source!Y78</f>
        <v>0</v>
      </c>
      <c r="U183">
        <f>ROUND((175/100)*ROUND((Source!AE78*Source!AV78)*Source!I78, 2), 2)</f>
        <v>0</v>
      </c>
      <c r="V183">
        <f>ROUND((108/100)*ROUND(Source!CS78*Source!I78, 2), 2)</f>
        <v>0</v>
      </c>
    </row>
    <row r="184" spans="1:22" ht="71.25" x14ac:dyDescent="0.2">
      <c r="A184" s="18" t="s">
        <v>173</v>
      </c>
      <c r="B184" s="18" t="str">
        <f>Source!F79</f>
        <v>21.21-5-158</v>
      </c>
      <c r="C184" s="18" t="str">
        <f>Source!G79</f>
        <v>Муфты соединительные термоусаживаемые для соединения силовых кабелей на напряжение 6, 10 кВ, без соединителей, тип 3 Стп10-240, сечение жил 150-240 мм2</v>
      </c>
      <c r="D184" s="19" t="str">
        <f>Source!H79</f>
        <v>компл.</v>
      </c>
      <c r="E184" s="8">
        <f>Source!I79</f>
        <v>130</v>
      </c>
      <c r="F184" s="21">
        <f>Source!AK79</f>
        <v>7737.81</v>
      </c>
      <c r="G184" s="23" t="s">
        <v>3</v>
      </c>
      <c r="H184" s="8">
        <f>Source!AW79</f>
        <v>1</v>
      </c>
      <c r="I184" s="8">
        <f>IF(Source!BC79&lt;&gt; 0, Source!BC79, 1)</f>
        <v>1</v>
      </c>
      <c r="J184" s="21">
        <f>Source!O79</f>
        <v>1005915.3</v>
      </c>
      <c r="K184" s="21"/>
      <c r="Q184">
        <f>ROUND((Source!BZ79/100)*ROUND((Source!AF79*Source!AV79)*Source!I79, 2), 2)</f>
        <v>0</v>
      </c>
      <c r="R184">
        <f>Source!X79</f>
        <v>0</v>
      </c>
      <c r="S184">
        <f>ROUND((Source!CA79/100)*ROUND((Source!AF79*Source!AV79)*Source!I79, 2), 2)</f>
        <v>0</v>
      </c>
      <c r="T184">
        <f>Source!Y79</f>
        <v>0</v>
      </c>
      <c r="U184">
        <f>ROUND((175/100)*ROUND((Source!AE79*Source!AV79)*Source!I79, 2), 2)</f>
        <v>0</v>
      </c>
      <c r="V184">
        <f>ROUND((108/100)*ROUND(Source!CS79*Source!I79, 2), 2)</f>
        <v>0</v>
      </c>
    </row>
    <row r="185" spans="1:22" ht="42.75" x14ac:dyDescent="0.2">
      <c r="A185" s="18" t="s">
        <v>174</v>
      </c>
      <c r="B185" s="18" t="str">
        <f>Source!F80</f>
        <v>Цена поставщика</v>
      </c>
      <c r="C185" s="18" t="s">
        <v>380</v>
      </c>
      <c r="D185" s="19" t="str">
        <f>Source!H80</f>
        <v>шт.</v>
      </c>
      <c r="E185" s="8">
        <f>Source!I80</f>
        <v>65</v>
      </c>
      <c r="F185" s="21">
        <f>Source!AK80</f>
        <v>4907.99</v>
      </c>
      <c r="G185" s="23" t="s">
        <v>3</v>
      </c>
      <c r="H185" s="8">
        <f>Source!AW80</f>
        <v>1</v>
      </c>
      <c r="I185" s="8">
        <f>IF(Source!BC80&lt;&gt; 0, Source!BC80, 1)</f>
        <v>1</v>
      </c>
      <c r="J185" s="21">
        <f>Source!O80</f>
        <v>319019.34999999998</v>
      </c>
      <c r="K185" s="21"/>
      <c r="Q185">
        <f>ROUND((Source!BZ80/100)*ROUND((Source!AF80*Source!AV80)*Source!I80, 2), 2)</f>
        <v>0</v>
      </c>
      <c r="R185">
        <f>Source!X80</f>
        <v>0</v>
      </c>
      <c r="S185">
        <f>ROUND((Source!CA80/100)*ROUND((Source!AF80*Source!AV80)*Source!I80, 2), 2)</f>
        <v>0</v>
      </c>
      <c r="T185">
        <f>Source!Y80</f>
        <v>0</v>
      </c>
      <c r="U185">
        <f>ROUND((175/100)*ROUND((Source!AE80*Source!AV80)*Source!I80, 2), 2)</f>
        <v>0</v>
      </c>
      <c r="V185">
        <f>ROUND((108/100)*ROUND(Source!CS80*Source!I80, 2), 2)</f>
        <v>0</v>
      </c>
    </row>
    <row r="186" spans="1:22" ht="14.25" x14ac:dyDescent="0.2">
      <c r="A186" s="18"/>
      <c r="B186" s="18"/>
      <c r="C186" s="18" t="s">
        <v>355</v>
      </c>
      <c r="D186" s="19" t="s">
        <v>356</v>
      </c>
      <c r="E186" s="8">
        <f>Source!AT74</f>
        <v>70</v>
      </c>
      <c r="F186" s="21"/>
      <c r="G186" s="20"/>
      <c r="H186" s="8"/>
      <c r="I186" s="8"/>
      <c r="J186" s="21">
        <f>SUM(R175:R185)</f>
        <v>109805.89</v>
      </c>
      <c r="K186" s="21"/>
    </row>
    <row r="187" spans="1:22" ht="14.25" x14ac:dyDescent="0.2">
      <c r="A187" s="18"/>
      <c r="B187" s="18"/>
      <c r="C187" s="18" t="s">
        <v>357</v>
      </c>
      <c r="D187" s="19" t="s">
        <v>356</v>
      </c>
      <c r="E187" s="8">
        <f>Source!AU74</f>
        <v>10</v>
      </c>
      <c r="F187" s="21"/>
      <c r="G187" s="20"/>
      <c r="H187" s="8"/>
      <c r="I187" s="8"/>
      <c r="J187" s="21">
        <f>SUM(T175:T186)</f>
        <v>15686.56</v>
      </c>
      <c r="K187" s="21"/>
    </row>
    <row r="188" spans="1:22" ht="14.25" x14ac:dyDescent="0.2">
      <c r="A188" s="18"/>
      <c r="B188" s="18"/>
      <c r="C188" s="18" t="s">
        <v>358</v>
      </c>
      <c r="D188" s="19" t="s">
        <v>356</v>
      </c>
      <c r="E188" s="8">
        <f>108</f>
        <v>108</v>
      </c>
      <c r="F188" s="21"/>
      <c r="G188" s="20"/>
      <c r="H188" s="8"/>
      <c r="I188" s="8"/>
      <c r="J188" s="21">
        <f>SUM(V175:V187)</f>
        <v>119393.13</v>
      </c>
      <c r="K188" s="21"/>
    </row>
    <row r="189" spans="1:22" ht="14.25" x14ac:dyDescent="0.2">
      <c r="A189" s="18"/>
      <c r="B189" s="18"/>
      <c r="C189" s="18" t="s">
        <v>359</v>
      </c>
      <c r="D189" s="19" t="s">
        <v>360</v>
      </c>
      <c r="E189" s="8">
        <f>Source!AQ74</f>
        <v>379.5</v>
      </c>
      <c r="F189" s="21"/>
      <c r="G189" s="20" t="str">
        <f>Source!DI74</f>
        <v/>
      </c>
      <c r="H189" s="8">
        <f>Source!AV74</f>
        <v>1</v>
      </c>
      <c r="I189" s="8"/>
      <c r="J189" s="21"/>
      <c r="K189" s="21">
        <f>Source!U74</f>
        <v>246.67500000000001</v>
      </c>
    </row>
    <row r="190" spans="1:22" ht="15" x14ac:dyDescent="0.25">
      <c r="A190" s="26"/>
      <c r="B190" s="26"/>
      <c r="C190" s="26"/>
      <c r="D190" s="26"/>
      <c r="E190" s="26"/>
      <c r="F190" s="26"/>
      <c r="G190" s="26"/>
      <c r="H190" s="26"/>
      <c r="I190" s="56">
        <f>J177+J178+J186+J187+J188+SUM(J180:J185)</f>
        <v>2013774.9</v>
      </c>
      <c r="J190" s="56"/>
      <c r="K190" s="27">
        <f>IF(Source!I74&lt;&gt;0, ROUND(I190/Source!I74, 2), 0)</f>
        <v>3098115.23</v>
      </c>
      <c r="P190" s="24">
        <f>I190</f>
        <v>2013774.9</v>
      </c>
    </row>
    <row r="191" spans="1:22" ht="71.25" x14ac:dyDescent="0.2">
      <c r="A191" s="18">
        <v>14</v>
      </c>
      <c r="B191" s="18" t="str">
        <f>Source!F81</f>
        <v>1.21-3703-2-3/1</v>
      </c>
      <c r="C191" s="18" t="str">
        <f>Source!G81</f>
        <v>Установка блока управления шкафного исполнения или распределительного пункта (шкафа) высотой и шириной до 600х600 мм на стену (без стоимости материалов)</v>
      </c>
      <c r="D191" s="19" t="str">
        <f>Source!H81</f>
        <v>шт.</v>
      </c>
      <c r="E191" s="8">
        <f>Source!I81</f>
        <v>8</v>
      </c>
      <c r="F191" s="21"/>
      <c r="G191" s="20"/>
      <c r="H191" s="8"/>
      <c r="I191" s="8"/>
      <c r="J191" s="21"/>
      <c r="K191" s="21"/>
      <c r="Q191">
        <f>ROUND((Source!BZ81/100)*ROUND((Source!AF81*Source!AV81)*Source!I81, 2), 2)</f>
        <v>8439.93</v>
      </c>
      <c r="R191">
        <f>Source!X81</f>
        <v>8439.93</v>
      </c>
      <c r="S191">
        <f>ROUND((Source!CA81/100)*ROUND((Source!AF81*Source!AV81)*Source!I81, 2), 2)</f>
        <v>1205.7</v>
      </c>
      <c r="T191">
        <f>Source!Y81</f>
        <v>1205.7</v>
      </c>
      <c r="U191">
        <f>ROUND((175/100)*ROUND((Source!AE81*Source!AV81)*Source!I81, 2), 2)</f>
        <v>15.68</v>
      </c>
      <c r="V191">
        <f>ROUND((108/100)*ROUND(Source!CS81*Source!I81, 2), 2)</f>
        <v>9.68</v>
      </c>
    </row>
    <row r="192" spans="1:22" ht="14.25" x14ac:dyDescent="0.2">
      <c r="A192" s="18"/>
      <c r="B192" s="18"/>
      <c r="C192" s="18" t="s">
        <v>351</v>
      </c>
      <c r="D192" s="19"/>
      <c r="E192" s="8"/>
      <c r="F192" s="21">
        <f>Source!AO81</f>
        <v>1507.13</v>
      </c>
      <c r="G192" s="20" t="str">
        <f>Source!DG81</f>
        <v/>
      </c>
      <c r="H192" s="8">
        <f>Source!AV81</f>
        <v>1</v>
      </c>
      <c r="I192" s="8">
        <f>IF(Source!BA81&lt;&gt; 0, Source!BA81, 1)</f>
        <v>1</v>
      </c>
      <c r="J192" s="21">
        <f>Source!S81</f>
        <v>12057.04</v>
      </c>
      <c r="K192" s="21"/>
    </row>
    <row r="193" spans="1:22" ht="14.25" x14ac:dyDescent="0.2">
      <c r="A193" s="18"/>
      <c r="B193" s="18"/>
      <c r="C193" s="18" t="s">
        <v>352</v>
      </c>
      <c r="D193" s="19"/>
      <c r="E193" s="8"/>
      <c r="F193" s="21">
        <f>Source!AM81</f>
        <v>361.88</v>
      </c>
      <c r="G193" s="20" t="str">
        <f>Source!DE81</f>
        <v/>
      </c>
      <c r="H193" s="8">
        <f>Source!AV81</f>
        <v>1</v>
      </c>
      <c r="I193" s="8">
        <f>IF(Source!BB81&lt;&gt; 0, Source!BB81, 1)</f>
        <v>1</v>
      </c>
      <c r="J193" s="21">
        <f>Source!Q81</f>
        <v>2895.04</v>
      </c>
      <c r="K193" s="21"/>
    </row>
    <row r="194" spans="1:22" ht="14.25" x14ac:dyDescent="0.2">
      <c r="A194" s="18"/>
      <c r="B194" s="18"/>
      <c r="C194" s="18" t="s">
        <v>353</v>
      </c>
      <c r="D194" s="19"/>
      <c r="E194" s="8"/>
      <c r="F194" s="21">
        <f>Source!AN81</f>
        <v>1.1200000000000001</v>
      </c>
      <c r="G194" s="20" t="str">
        <f>Source!DF81</f>
        <v/>
      </c>
      <c r="H194" s="8">
        <f>Source!AV81</f>
        <v>1</v>
      </c>
      <c r="I194" s="8">
        <f>IF(Source!BS81&lt;&gt; 0, Source!BS81, 1)</f>
        <v>1</v>
      </c>
      <c r="J194" s="22">
        <f>Source!R81</f>
        <v>8.9600000000000009</v>
      </c>
      <c r="K194" s="21"/>
    </row>
    <row r="195" spans="1:22" ht="42.75" x14ac:dyDescent="0.2">
      <c r="A195" s="18" t="s">
        <v>178</v>
      </c>
      <c r="B195" s="18" t="str">
        <f>Source!F82</f>
        <v>Цена поставщика</v>
      </c>
      <c r="C195" s="18" t="s">
        <v>381</v>
      </c>
      <c r="D195" s="19" t="str">
        <f>Source!H82</f>
        <v>шт.</v>
      </c>
      <c r="E195" s="8">
        <f>Source!I82</f>
        <v>8</v>
      </c>
      <c r="F195" s="21">
        <f>Source!AK82</f>
        <v>12359.98</v>
      </c>
      <c r="G195" s="23" t="s">
        <v>3</v>
      </c>
      <c r="H195" s="8">
        <f>Source!AW82</f>
        <v>1</v>
      </c>
      <c r="I195" s="8">
        <f>IF(Source!BC82&lt;&gt; 0, Source!BC82, 1)</f>
        <v>1</v>
      </c>
      <c r="J195" s="21">
        <f>Source!O82</f>
        <v>98879.84</v>
      </c>
      <c r="K195" s="21"/>
      <c r="Q195">
        <f>ROUND((Source!BZ82/100)*ROUND((Source!AF82*Source!AV82)*Source!I82, 2), 2)</f>
        <v>0</v>
      </c>
      <c r="R195">
        <f>Source!X82</f>
        <v>0</v>
      </c>
      <c r="S195">
        <f>ROUND((Source!CA82/100)*ROUND((Source!AF82*Source!AV82)*Source!I82, 2), 2)</f>
        <v>0</v>
      </c>
      <c r="T195">
        <f>Source!Y82</f>
        <v>0</v>
      </c>
      <c r="U195">
        <f>ROUND((175/100)*ROUND((Source!AE82*Source!AV82)*Source!I82, 2), 2)</f>
        <v>0</v>
      </c>
      <c r="V195">
        <f>ROUND((108/100)*ROUND(Source!CS82*Source!I82, 2), 2)</f>
        <v>0</v>
      </c>
    </row>
    <row r="196" spans="1:22" ht="14.25" x14ac:dyDescent="0.2">
      <c r="A196" s="18"/>
      <c r="B196" s="18"/>
      <c r="C196" s="18" t="s">
        <v>355</v>
      </c>
      <c r="D196" s="19" t="s">
        <v>356</v>
      </c>
      <c r="E196" s="8">
        <f>Source!AT81</f>
        <v>70</v>
      </c>
      <c r="F196" s="21"/>
      <c r="G196" s="20"/>
      <c r="H196" s="8"/>
      <c r="I196" s="8"/>
      <c r="J196" s="21">
        <f>SUM(R191:R195)</f>
        <v>8439.93</v>
      </c>
      <c r="K196" s="21"/>
    </row>
    <row r="197" spans="1:22" ht="14.25" x14ac:dyDescent="0.2">
      <c r="A197" s="18"/>
      <c r="B197" s="18"/>
      <c r="C197" s="18" t="s">
        <v>357</v>
      </c>
      <c r="D197" s="19" t="s">
        <v>356</v>
      </c>
      <c r="E197" s="8">
        <f>Source!AU81</f>
        <v>10</v>
      </c>
      <c r="F197" s="21"/>
      <c r="G197" s="20"/>
      <c r="H197" s="8"/>
      <c r="I197" s="8"/>
      <c r="J197" s="21">
        <f>SUM(T191:T196)</f>
        <v>1205.7</v>
      </c>
      <c r="K197" s="21"/>
    </row>
    <row r="198" spans="1:22" ht="14.25" x14ac:dyDescent="0.2">
      <c r="A198" s="18"/>
      <c r="B198" s="18"/>
      <c r="C198" s="18" t="s">
        <v>358</v>
      </c>
      <c r="D198" s="19" t="s">
        <v>356</v>
      </c>
      <c r="E198" s="8">
        <f>108</f>
        <v>108</v>
      </c>
      <c r="F198" s="21"/>
      <c r="G198" s="20"/>
      <c r="H198" s="8"/>
      <c r="I198" s="8"/>
      <c r="J198" s="21">
        <f>SUM(V191:V197)</f>
        <v>9.68</v>
      </c>
      <c r="K198" s="21"/>
    </row>
    <row r="199" spans="1:22" ht="14.25" x14ac:dyDescent="0.2">
      <c r="A199" s="18"/>
      <c r="B199" s="18"/>
      <c r="C199" s="18" t="s">
        <v>359</v>
      </c>
      <c r="D199" s="19" t="s">
        <v>360</v>
      </c>
      <c r="E199" s="8">
        <f>Source!AQ81</f>
        <v>2.37</v>
      </c>
      <c r="F199" s="21"/>
      <c r="G199" s="20" t="str">
        <f>Source!DI81</f>
        <v/>
      </c>
      <c r="H199" s="8">
        <f>Source!AV81</f>
        <v>1</v>
      </c>
      <c r="I199" s="8"/>
      <c r="J199" s="21"/>
      <c r="K199" s="21">
        <f>Source!U81</f>
        <v>18.96</v>
      </c>
    </row>
    <row r="200" spans="1:22" ht="15" x14ac:dyDescent="0.25">
      <c r="A200" s="26"/>
      <c r="B200" s="26"/>
      <c r="C200" s="26"/>
      <c r="D200" s="26"/>
      <c r="E200" s="26"/>
      <c r="F200" s="26"/>
      <c r="G200" s="26"/>
      <c r="H200" s="26"/>
      <c r="I200" s="56">
        <f>J192+J193+J196+J197+J198+SUM(J195:J195)</f>
        <v>123487.23</v>
      </c>
      <c r="J200" s="56"/>
      <c r="K200" s="27">
        <f>IF(Source!I81&lt;&gt;0, ROUND(I200/Source!I81, 2), 0)</f>
        <v>15435.9</v>
      </c>
      <c r="P200" s="24">
        <f>I200</f>
        <v>123487.23</v>
      </c>
    </row>
    <row r="201" spans="1:22" ht="85.5" x14ac:dyDescent="0.2">
      <c r="A201" s="18">
        <v>15</v>
      </c>
      <c r="B201" s="18" t="str">
        <f>Source!F83</f>
        <v>1.21-3103-21-3/1</v>
      </c>
      <c r="C201" s="18" t="str">
        <f>Source!G83</f>
        <v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16 мм2 (без стоимости материалов)</v>
      </c>
      <c r="D201" s="19" t="str">
        <f>Source!H83</f>
        <v>100 м</v>
      </c>
      <c r="E201" s="8">
        <f>Source!I83</f>
        <v>3</v>
      </c>
      <c r="F201" s="21"/>
      <c r="G201" s="20"/>
      <c r="H201" s="8"/>
      <c r="I201" s="8"/>
      <c r="J201" s="21"/>
      <c r="K201" s="21"/>
      <c r="Q201">
        <f>ROUND((Source!BZ83/100)*ROUND((Source!AF83*Source!AV83)*Source!I83, 2), 2)</f>
        <v>10364.61</v>
      </c>
      <c r="R201">
        <f>Source!X83</f>
        <v>10364.61</v>
      </c>
      <c r="S201">
        <f>ROUND((Source!CA83/100)*ROUND((Source!AF83*Source!AV83)*Source!I83, 2), 2)</f>
        <v>1480.66</v>
      </c>
      <c r="T201">
        <f>Source!Y83</f>
        <v>1480.66</v>
      </c>
      <c r="U201">
        <f>ROUND((175/100)*ROUND((Source!AE83*Source!AV83)*Source!I83, 2), 2)</f>
        <v>0</v>
      </c>
      <c r="V201">
        <f>ROUND((108/100)*ROUND(Source!CS83*Source!I83, 2), 2)</f>
        <v>0</v>
      </c>
    </row>
    <row r="202" spans="1:22" x14ac:dyDescent="0.2">
      <c r="C202" s="28" t="str">
        <f>"Объем: "&amp;Source!I83&amp;"=300/"&amp;"100"</f>
        <v>Объем: 3=300/100</v>
      </c>
    </row>
    <row r="203" spans="1:22" ht="14.25" x14ac:dyDescent="0.2">
      <c r="A203" s="18"/>
      <c r="B203" s="18"/>
      <c r="C203" s="18" t="s">
        <v>351</v>
      </c>
      <c r="D203" s="19"/>
      <c r="E203" s="8"/>
      <c r="F203" s="21">
        <f>Source!AO83</f>
        <v>4935.53</v>
      </c>
      <c r="G203" s="20" t="str">
        <f>Source!DG83</f>
        <v/>
      </c>
      <c r="H203" s="8">
        <f>Source!AV83</f>
        <v>1</v>
      </c>
      <c r="I203" s="8">
        <f>IF(Source!BA83&lt;&gt; 0, Source!BA83, 1)</f>
        <v>1</v>
      </c>
      <c r="J203" s="21">
        <f>Source!S83</f>
        <v>14806.59</v>
      </c>
      <c r="K203" s="21"/>
    </row>
    <row r="204" spans="1:22" ht="42.75" x14ac:dyDescent="0.2">
      <c r="A204" s="18" t="s">
        <v>182</v>
      </c>
      <c r="B204" s="18" t="str">
        <f>Source!F84</f>
        <v>Цена поставщика</v>
      </c>
      <c r="C204" s="18" t="s">
        <v>382</v>
      </c>
      <c r="D204" s="19" t="str">
        <f>Source!H84</f>
        <v>м.п.</v>
      </c>
      <c r="E204" s="8">
        <f>Source!I84</f>
        <v>3</v>
      </c>
      <c r="F204" s="21">
        <f>Source!AK84</f>
        <v>16376.98</v>
      </c>
      <c r="G204" s="23" t="s">
        <v>3</v>
      </c>
      <c r="H204" s="8">
        <f>Source!AW84</f>
        <v>1</v>
      </c>
      <c r="I204" s="8">
        <f>IF(Source!BC84&lt;&gt; 0, Source!BC84, 1)</f>
        <v>1</v>
      </c>
      <c r="J204" s="21">
        <f>Source!O84</f>
        <v>49130.94</v>
      </c>
      <c r="K204" s="21"/>
      <c r="Q204">
        <f>ROUND((Source!BZ84/100)*ROUND((Source!AF84*Source!AV84)*Source!I84, 2), 2)</f>
        <v>0</v>
      </c>
      <c r="R204">
        <f>Source!X84</f>
        <v>0</v>
      </c>
      <c r="S204">
        <f>ROUND((Source!CA84/100)*ROUND((Source!AF84*Source!AV84)*Source!I84, 2), 2)</f>
        <v>0</v>
      </c>
      <c r="T204">
        <f>Source!Y84</f>
        <v>0</v>
      </c>
      <c r="U204">
        <f>ROUND((175/100)*ROUND((Source!AE84*Source!AV84)*Source!I84, 2), 2)</f>
        <v>0</v>
      </c>
      <c r="V204">
        <f>ROUND((108/100)*ROUND(Source!CS84*Source!I84, 2), 2)</f>
        <v>0</v>
      </c>
    </row>
    <row r="205" spans="1:22" ht="14.25" x14ac:dyDescent="0.2">
      <c r="A205" s="18"/>
      <c r="B205" s="18"/>
      <c r="C205" s="18" t="s">
        <v>355</v>
      </c>
      <c r="D205" s="19" t="s">
        <v>356</v>
      </c>
      <c r="E205" s="8">
        <f>Source!AT83</f>
        <v>70</v>
      </c>
      <c r="F205" s="21"/>
      <c r="G205" s="20"/>
      <c r="H205" s="8"/>
      <c r="I205" s="8"/>
      <c r="J205" s="21">
        <f>SUM(R201:R204)</f>
        <v>10364.61</v>
      </c>
      <c r="K205" s="21"/>
    </row>
    <row r="206" spans="1:22" ht="14.25" x14ac:dyDescent="0.2">
      <c r="A206" s="18"/>
      <c r="B206" s="18"/>
      <c r="C206" s="18" t="s">
        <v>357</v>
      </c>
      <c r="D206" s="19" t="s">
        <v>356</v>
      </c>
      <c r="E206" s="8">
        <f>Source!AU83</f>
        <v>10</v>
      </c>
      <c r="F206" s="21"/>
      <c r="G206" s="20"/>
      <c r="H206" s="8"/>
      <c r="I206" s="8"/>
      <c r="J206" s="21">
        <f>SUM(T201:T205)</f>
        <v>1480.66</v>
      </c>
      <c r="K206" s="21"/>
    </row>
    <row r="207" spans="1:22" ht="14.25" x14ac:dyDescent="0.2">
      <c r="A207" s="18"/>
      <c r="B207" s="18"/>
      <c r="C207" s="18" t="s">
        <v>359</v>
      </c>
      <c r="D207" s="19" t="s">
        <v>360</v>
      </c>
      <c r="E207" s="8">
        <f>Source!AQ83</f>
        <v>8.2899999999999991</v>
      </c>
      <c r="F207" s="21"/>
      <c r="G207" s="20" t="str">
        <f>Source!DI83</f>
        <v/>
      </c>
      <c r="H207" s="8">
        <f>Source!AV83</f>
        <v>1</v>
      </c>
      <c r="I207" s="8"/>
      <c r="J207" s="21"/>
      <c r="K207" s="21">
        <f>Source!U83</f>
        <v>24.869999999999997</v>
      </c>
    </row>
    <row r="208" spans="1:22" ht="15" x14ac:dyDescent="0.25">
      <c r="A208" s="26"/>
      <c r="B208" s="26"/>
      <c r="C208" s="26"/>
      <c r="D208" s="26"/>
      <c r="E208" s="26"/>
      <c r="F208" s="26"/>
      <c r="G208" s="26"/>
      <c r="H208" s="26"/>
      <c r="I208" s="56">
        <f>J203+J205+J206+SUM(J204:J204)</f>
        <v>75782.8</v>
      </c>
      <c r="J208" s="56"/>
      <c r="K208" s="27">
        <f>IF(Source!I83&lt;&gt;0, ROUND(I208/Source!I83, 2), 0)</f>
        <v>25260.93</v>
      </c>
      <c r="P208" s="24">
        <f>I208</f>
        <v>75782.8</v>
      </c>
    </row>
    <row r="210" spans="1:22" ht="15" x14ac:dyDescent="0.25">
      <c r="A210" s="60" t="str">
        <f>CONCATENATE("Итого по разделу: ",IF(Source!G86&lt;&gt;"Новый раздел", Source!G86, ""))</f>
        <v>Итого по разделу: Электромонтажные работы</v>
      </c>
      <c r="B210" s="60"/>
      <c r="C210" s="60"/>
      <c r="D210" s="60"/>
      <c r="E210" s="60"/>
      <c r="F210" s="60"/>
      <c r="G210" s="60"/>
      <c r="H210" s="60"/>
      <c r="I210" s="58">
        <f>SUM(P37:P209)</f>
        <v>8158008.7299999995</v>
      </c>
      <c r="J210" s="59"/>
      <c r="K210" s="29"/>
    </row>
    <row r="213" spans="1:22" ht="15" x14ac:dyDescent="0.25">
      <c r="A213" s="60" t="str">
        <f>CONCATENATE("Итого по локальной смете: ",IF(Source!G116&lt;&gt;"Новая локальная смета", Source!G116, ""))</f>
        <v xml:space="preserve">Итого по локальной смете: </v>
      </c>
      <c r="B213" s="60"/>
      <c r="C213" s="60"/>
      <c r="D213" s="60"/>
      <c r="E213" s="60"/>
      <c r="F213" s="60"/>
      <c r="G213" s="60"/>
      <c r="H213" s="60"/>
      <c r="I213" s="58">
        <f>SUM(P35:P212)</f>
        <v>8158008.7299999995</v>
      </c>
      <c r="J213" s="59"/>
      <c r="K213" s="29"/>
    </row>
    <row r="215" spans="1:22" ht="14.25" x14ac:dyDescent="0.2">
      <c r="C215" s="45" t="str">
        <f>Source!H145</f>
        <v>Итого</v>
      </c>
      <c r="D215" s="45"/>
      <c r="E215" s="45"/>
      <c r="F215" s="45"/>
      <c r="G215" s="45"/>
      <c r="H215" s="45"/>
      <c r="I215" s="53">
        <f>IF(Source!F145=0, "", Source!F145)</f>
        <v>8158008.7300000004</v>
      </c>
      <c r="J215" s="53"/>
    </row>
    <row r="216" spans="1:22" ht="14.25" x14ac:dyDescent="0.2">
      <c r="C216" s="45" t="str">
        <f>Source!H146</f>
        <v>НДС 20%</v>
      </c>
      <c r="D216" s="45"/>
      <c r="E216" s="45"/>
      <c r="F216" s="45"/>
      <c r="G216" s="45"/>
      <c r="H216" s="45"/>
      <c r="I216" s="53">
        <f>IF(Source!F146=0, "", Source!F146)</f>
        <v>1631601.75</v>
      </c>
      <c r="J216" s="53"/>
    </row>
    <row r="217" spans="1:22" ht="14.25" x14ac:dyDescent="0.2">
      <c r="C217" s="45" t="str">
        <f>Source!H147</f>
        <v>Всего</v>
      </c>
      <c r="D217" s="45"/>
      <c r="E217" s="45"/>
      <c r="F217" s="45"/>
      <c r="G217" s="45"/>
      <c r="H217" s="45"/>
      <c r="I217" s="53">
        <f>IF(Source!F147=0, "", Source!F147)</f>
        <v>9789610.4800000004</v>
      </c>
      <c r="J217" s="53"/>
    </row>
    <row r="219" spans="1:22" ht="16.5" x14ac:dyDescent="0.25">
      <c r="A219" s="57" t="str">
        <f>CONCATENATE("Локальная смета: ",IF(Source!G149&lt;&gt;"Новая локальная смета", Source!G149, ""))</f>
        <v>Локальная смета: Декорационное оформление</v>
      </c>
      <c r="B219" s="57"/>
      <c r="C219" s="57"/>
      <c r="D219" s="57"/>
      <c r="E219" s="57"/>
      <c r="F219" s="57"/>
      <c r="G219" s="57"/>
      <c r="H219" s="57"/>
      <c r="I219" s="57"/>
      <c r="J219" s="57"/>
      <c r="K219" s="57"/>
    </row>
    <row r="221" spans="1:22" ht="16.5" x14ac:dyDescent="0.25">
      <c r="A221" s="57" t="str">
        <f>CONCATENATE("Раздел: ",IF(Source!G153&lt;&gt;"Новый раздел", Source!G153, ""))</f>
        <v>Раздел: Разработка дизайн-проекта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</row>
    <row r="222" spans="1:22" ht="42.75" x14ac:dyDescent="0.2">
      <c r="A222" s="18">
        <v>1</v>
      </c>
      <c r="B222" s="18" t="str">
        <f>Source!F157</f>
        <v>Цена поставщика</v>
      </c>
      <c r="C222" s="18" t="s">
        <v>383</v>
      </c>
      <c r="D222" s="19" t="str">
        <f>Source!H157</f>
        <v>шт.</v>
      </c>
      <c r="E222" s="8">
        <f>Source!I157</f>
        <v>1</v>
      </c>
      <c r="F222" s="21">
        <f>Source!AL157</f>
        <v>1948150.23</v>
      </c>
      <c r="G222" s="20" t="str">
        <f>Source!DD157</f>
        <v/>
      </c>
      <c r="H222" s="8">
        <f>Source!AW157</f>
        <v>1</v>
      </c>
      <c r="I222" s="8">
        <f>IF(Source!BC157&lt;&gt; 0, Source!BC157, 1)</f>
        <v>1</v>
      </c>
      <c r="J222" s="21">
        <f>Source!P157</f>
        <v>1948150.23</v>
      </c>
      <c r="K222" s="21"/>
      <c r="Q222">
        <f>ROUND((Source!BZ157/100)*ROUND((Source!AF157*Source!AV157)*Source!I157, 2), 2)</f>
        <v>0</v>
      </c>
      <c r="R222">
        <f>Source!X157</f>
        <v>0</v>
      </c>
      <c r="S222">
        <f>ROUND((Source!CA157/100)*ROUND((Source!AF157*Source!AV157)*Source!I157, 2), 2)</f>
        <v>0</v>
      </c>
      <c r="T222">
        <f>Source!Y157</f>
        <v>0</v>
      </c>
      <c r="U222">
        <f>ROUND((175/100)*ROUND((Source!AE157*Source!AV157)*Source!I157, 2), 2)</f>
        <v>0</v>
      </c>
      <c r="V222">
        <f>ROUND((108/100)*ROUND(Source!CS157*Source!I157, 2), 2)</f>
        <v>0</v>
      </c>
    </row>
    <row r="223" spans="1:22" ht="15" x14ac:dyDescent="0.25">
      <c r="A223" s="26"/>
      <c r="B223" s="26"/>
      <c r="C223" s="26"/>
      <c r="D223" s="26"/>
      <c r="E223" s="26"/>
      <c r="F223" s="26"/>
      <c r="G223" s="26"/>
      <c r="H223" s="26"/>
      <c r="I223" s="56">
        <f>J222</f>
        <v>1948150.23</v>
      </c>
      <c r="J223" s="56"/>
      <c r="K223" s="27">
        <f>IF(Source!I157&lt;&gt;0, ROUND(I223/Source!I157, 2), 0)</f>
        <v>1948150.23</v>
      </c>
      <c r="P223" s="24">
        <f>I223</f>
        <v>1948150.23</v>
      </c>
    </row>
    <row r="225" spans="1:22" ht="15" x14ac:dyDescent="0.25">
      <c r="A225" s="60" t="str">
        <f>CONCATENATE("Итого по разделу: ",IF(Source!G159&lt;&gt;"Новый раздел", Source!G159, ""))</f>
        <v>Итого по разделу: Разработка дизайн-проекта</v>
      </c>
      <c r="B225" s="60"/>
      <c r="C225" s="60"/>
      <c r="D225" s="60"/>
      <c r="E225" s="60"/>
      <c r="F225" s="60"/>
      <c r="G225" s="60"/>
      <c r="H225" s="60"/>
      <c r="I225" s="58">
        <f>SUM(P221:P224)</f>
        <v>1948150.23</v>
      </c>
      <c r="J225" s="59"/>
      <c r="K225" s="29"/>
    </row>
    <row r="228" spans="1:22" ht="16.5" x14ac:dyDescent="0.25">
      <c r="A228" s="57" t="str">
        <f>CONCATENATE("Раздел: ",IF(Source!G189&lt;&gt;"Новый раздел", Source!G189, ""))</f>
        <v>Раздел: Входная группа</v>
      </c>
      <c r="B228" s="57"/>
      <c r="C228" s="57"/>
      <c r="D228" s="57"/>
      <c r="E228" s="57"/>
      <c r="F228" s="57"/>
      <c r="G228" s="57"/>
      <c r="H228" s="57"/>
      <c r="I228" s="57"/>
      <c r="J228" s="57"/>
      <c r="K228" s="57"/>
    </row>
    <row r="229" spans="1:22" ht="126.75" x14ac:dyDescent="0.2">
      <c r="A229" s="18">
        <v>2</v>
      </c>
      <c r="B229" s="18" t="str">
        <f>Source!F193</f>
        <v>Цена поставщика</v>
      </c>
      <c r="C229" s="18" t="s">
        <v>384</v>
      </c>
      <c r="D229" s="19" t="str">
        <f>Source!H193</f>
        <v>компл.</v>
      </c>
      <c r="E229" s="8">
        <f>Source!I193</f>
        <v>1</v>
      </c>
      <c r="F229" s="21">
        <f>Source!AL193</f>
        <v>3573800.02</v>
      </c>
      <c r="G229" s="20" t="str">
        <f>Source!DD193</f>
        <v/>
      </c>
      <c r="H229" s="8">
        <f>Source!AW193</f>
        <v>1</v>
      </c>
      <c r="I229" s="8">
        <f>IF(Source!BC193&lt;&gt; 0, Source!BC193, 1)</f>
        <v>1</v>
      </c>
      <c r="J229" s="21">
        <f>Source!P193</f>
        <v>3573800.02</v>
      </c>
      <c r="K229" s="21"/>
      <c r="Q229">
        <f>ROUND((Source!BZ193/100)*ROUND((Source!AF193*Source!AV193)*Source!I193, 2), 2)</f>
        <v>0</v>
      </c>
      <c r="R229">
        <f>Source!X193</f>
        <v>0</v>
      </c>
      <c r="S229">
        <f>ROUND((Source!CA193/100)*ROUND((Source!AF193*Source!AV193)*Source!I193, 2), 2)</f>
        <v>0</v>
      </c>
      <c r="T229">
        <f>Source!Y193</f>
        <v>0</v>
      </c>
      <c r="U229">
        <f>ROUND((175/100)*ROUND((Source!AE193*Source!AV193)*Source!I193, 2), 2)</f>
        <v>0</v>
      </c>
      <c r="V229">
        <f>ROUND((108/100)*ROUND(Source!CS193*Source!I193, 2), 2)</f>
        <v>0</v>
      </c>
    </row>
    <row r="230" spans="1:22" ht="15" x14ac:dyDescent="0.25">
      <c r="A230" s="26"/>
      <c r="B230" s="26"/>
      <c r="C230" s="26"/>
      <c r="D230" s="26"/>
      <c r="E230" s="26"/>
      <c r="F230" s="26"/>
      <c r="G230" s="26"/>
      <c r="H230" s="26"/>
      <c r="I230" s="56">
        <f>J229</f>
        <v>3573800.02</v>
      </c>
      <c r="J230" s="56"/>
      <c r="K230" s="27">
        <f>IF(Source!I193&lt;&gt;0, ROUND(I230/Source!I193, 2), 0)</f>
        <v>3573800.02</v>
      </c>
      <c r="P230" s="24">
        <f>I230</f>
        <v>3573800.02</v>
      </c>
    </row>
    <row r="231" spans="1:22" ht="126.75" x14ac:dyDescent="0.2">
      <c r="A231" s="18">
        <v>3</v>
      </c>
      <c r="B231" s="18" t="str">
        <f>Source!F194</f>
        <v>Цена поставщика</v>
      </c>
      <c r="C231" s="18" t="s">
        <v>385</v>
      </c>
      <c r="D231" s="19" t="str">
        <f>Source!H194</f>
        <v>компл.</v>
      </c>
      <c r="E231" s="8">
        <f>Source!I194</f>
        <v>1</v>
      </c>
      <c r="F231" s="21">
        <f>Source!AL194</f>
        <v>1340299.95</v>
      </c>
      <c r="G231" s="20" t="str">
        <f>Source!DD194</f>
        <v/>
      </c>
      <c r="H231" s="8">
        <f>Source!AW194</f>
        <v>1</v>
      </c>
      <c r="I231" s="8">
        <f>IF(Source!BC194&lt;&gt; 0, Source!BC194, 1)</f>
        <v>1</v>
      </c>
      <c r="J231" s="21">
        <f>Source!P194</f>
        <v>1340299.95</v>
      </c>
      <c r="K231" s="21"/>
      <c r="Q231">
        <f>ROUND((Source!BZ194/100)*ROUND((Source!AF194*Source!AV194)*Source!I194, 2), 2)</f>
        <v>0</v>
      </c>
      <c r="R231">
        <f>Source!X194</f>
        <v>0</v>
      </c>
      <c r="S231">
        <f>ROUND((Source!CA194/100)*ROUND((Source!AF194*Source!AV194)*Source!I194, 2), 2)</f>
        <v>0</v>
      </c>
      <c r="T231">
        <f>Source!Y194</f>
        <v>0</v>
      </c>
      <c r="U231">
        <f>ROUND((175/100)*ROUND((Source!AE194*Source!AV194)*Source!I194, 2), 2)</f>
        <v>0</v>
      </c>
      <c r="V231">
        <f>ROUND((108/100)*ROUND(Source!CS194*Source!I194, 2), 2)</f>
        <v>0</v>
      </c>
    </row>
    <row r="232" spans="1:22" ht="15" x14ac:dyDescent="0.25">
      <c r="A232" s="26"/>
      <c r="B232" s="26"/>
      <c r="C232" s="26"/>
      <c r="D232" s="26"/>
      <c r="E232" s="26"/>
      <c r="F232" s="26"/>
      <c r="G232" s="26"/>
      <c r="H232" s="26"/>
      <c r="I232" s="56">
        <f>J231</f>
        <v>1340299.95</v>
      </c>
      <c r="J232" s="56"/>
      <c r="K232" s="27">
        <f>IF(Source!I194&lt;&gt;0, ROUND(I232/Source!I194, 2), 0)</f>
        <v>1340299.95</v>
      </c>
      <c r="P232" s="24">
        <f>I232</f>
        <v>1340299.95</v>
      </c>
    </row>
    <row r="233" spans="1:22" ht="98.25" x14ac:dyDescent="0.2">
      <c r="A233" s="18">
        <v>4</v>
      </c>
      <c r="B233" s="18" t="str">
        <f>Source!F195</f>
        <v>Цена поставщика</v>
      </c>
      <c r="C233" s="18" t="s">
        <v>386</v>
      </c>
      <c r="D233" s="19" t="str">
        <f>Source!H195</f>
        <v>компл.</v>
      </c>
      <c r="E233" s="8">
        <f>Source!I195</f>
        <v>1</v>
      </c>
      <c r="F233" s="21">
        <f>Source!AL195</f>
        <v>1407616.15</v>
      </c>
      <c r="G233" s="20" t="str">
        <f>Source!DD195</f>
        <v/>
      </c>
      <c r="H233" s="8">
        <f>Source!AW195</f>
        <v>1</v>
      </c>
      <c r="I233" s="8">
        <f>IF(Source!BC195&lt;&gt; 0, Source!BC195, 1)</f>
        <v>1</v>
      </c>
      <c r="J233" s="21">
        <f>Source!P195</f>
        <v>1407616.15</v>
      </c>
      <c r="K233" s="21"/>
      <c r="Q233">
        <f>ROUND((Source!BZ195/100)*ROUND((Source!AF195*Source!AV195)*Source!I195, 2), 2)</f>
        <v>0</v>
      </c>
      <c r="R233">
        <f>Source!X195</f>
        <v>0</v>
      </c>
      <c r="S233">
        <f>ROUND((Source!CA195/100)*ROUND((Source!AF195*Source!AV195)*Source!I195, 2), 2)</f>
        <v>0</v>
      </c>
      <c r="T233">
        <f>Source!Y195</f>
        <v>0</v>
      </c>
      <c r="U233">
        <f>ROUND((175/100)*ROUND((Source!AE195*Source!AV195)*Source!I195, 2), 2)</f>
        <v>0</v>
      </c>
      <c r="V233">
        <f>ROUND((108/100)*ROUND(Source!CS195*Source!I195, 2), 2)</f>
        <v>0</v>
      </c>
    </row>
    <row r="234" spans="1:22" ht="15" x14ac:dyDescent="0.25">
      <c r="A234" s="26"/>
      <c r="B234" s="26"/>
      <c r="C234" s="26"/>
      <c r="D234" s="26"/>
      <c r="E234" s="26"/>
      <c r="F234" s="26"/>
      <c r="G234" s="26"/>
      <c r="H234" s="26"/>
      <c r="I234" s="56">
        <f>J233</f>
        <v>1407616.15</v>
      </c>
      <c r="J234" s="56"/>
      <c r="K234" s="27">
        <f>IF(Source!I195&lt;&gt;0, ROUND(I234/Source!I195, 2), 0)</f>
        <v>1407616.15</v>
      </c>
      <c r="P234" s="24">
        <f>I234</f>
        <v>1407616.15</v>
      </c>
    </row>
    <row r="235" spans="1:22" ht="126.75" x14ac:dyDescent="0.2">
      <c r="A235" s="18">
        <v>5</v>
      </c>
      <c r="B235" s="18" t="str">
        <f>Source!F196</f>
        <v>Цена поставщика</v>
      </c>
      <c r="C235" s="18" t="s">
        <v>387</v>
      </c>
      <c r="D235" s="19" t="str">
        <f>Source!H196</f>
        <v>компл.</v>
      </c>
      <c r="E235" s="8">
        <f>Source!I196</f>
        <v>1</v>
      </c>
      <c r="F235" s="21">
        <f>Source!AL196</f>
        <v>1216633.3500000001</v>
      </c>
      <c r="G235" s="20" t="str">
        <f>Source!DD196</f>
        <v/>
      </c>
      <c r="H235" s="8">
        <f>Source!AW196</f>
        <v>1</v>
      </c>
      <c r="I235" s="8">
        <f>IF(Source!BC196&lt;&gt; 0, Source!BC196, 1)</f>
        <v>1</v>
      </c>
      <c r="J235" s="21">
        <f>Source!P196</f>
        <v>1216633.3500000001</v>
      </c>
      <c r="K235" s="21"/>
      <c r="Q235">
        <f>ROUND((Source!BZ196/100)*ROUND((Source!AF196*Source!AV196)*Source!I196, 2), 2)</f>
        <v>0</v>
      </c>
      <c r="R235">
        <f>Source!X196</f>
        <v>0</v>
      </c>
      <c r="S235">
        <f>ROUND((Source!CA196/100)*ROUND((Source!AF196*Source!AV196)*Source!I196, 2), 2)</f>
        <v>0</v>
      </c>
      <c r="T235">
        <f>Source!Y196</f>
        <v>0</v>
      </c>
      <c r="U235">
        <f>ROUND((175/100)*ROUND((Source!AE196*Source!AV196)*Source!I196, 2), 2)</f>
        <v>0</v>
      </c>
      <c r="V235">
        <f>ROUND((108/100)*ROUND(Source!CS196*Source!I196, 2), 2)</f>
        <v>0</v>
      </c>
    </row>
    <row r="236" spans="1:22" ht="15" x14ac:dyDescent="0.25">
      <c r="A236" s="26"/>
      <c r="B236" s="26"/>
      <c r="C236" s="26"/>
      <c r="D236" s="26"/>
      <c r="E236" s="26"/>
      <c r="F236" s="26"/>
      <c r="G236" s="26"/>
      <c r="H236" s="26"/>
      <c r="I236" s="56">
        <f>J235</f>
        <v>1216633.3500000001</v>
      </c>
      <c r="J236" s="56"/>
      <c r="K236" s="27">
        <f>IF(Source!I196&lt;&gt;0, ROUND(I236/Source!I196, 2), 0)</f>
        <v>1216633.3500000001</v>
      </c>
      <c r="P236" s="24">
        <f>I236</f>
        <v>1216633.3500000001</v>
      </c>
    </row>
    <row r="237" spans="1:22" ht="169.5" x14ac:dyDescent="0.2">
      <c r="A237" s="18">
        <v>6</v>
      </c>
      <c r="B237" s="18" t="str">
        <f>Source!F197</f>
        <v>Цена поставщика</v>
      </c>
      <c r="C237" s="18" t="s">
        <v>388</v>
      </c>
      <c r="D237" s="19" t="str">
        <f>Source!H197</f>
        <v>компл.</v>
      </c>
      <c r="E237" s="8">
        <f>Source!I197</f>
        <v>1</v>
      </c>
      <c r="F237" s="21">
        <f>Source!AL197</f>
        <v>1025950.01</v>
      </c>
      <c r="G237" s="20" t="str">
        <f>Source!DD197</f>
        <v/>
      </c>
      <c r="H237" s="8">
        <f>Source!AW197</f>
        <v>1</v>
      </c>
      <c r="I237" s="8">
        <f>IF(Source!BC197&lt;&gt; 0, Source!BC197, 1)</f>
        <v>1</v>
      </c>
      <c r="J237" s="21">
        <f>Source!P197</f>
        <v>1025950.01</v>
      </c>
      <c r="K237" s="21"/>
      <c r="Q237">
        <f>ROUND((Source!BZ197/100)*ROUND((Source!AF197*Source!AV197)*Source!I197, 2), 2)</f>
        <v>0</v>
      </c>
      <c r="R237">
        <f>Source!X197</f>
        <v>0</v>
      </c>
      <c r="S237">
        <f>ROUND((Source!CA197/100)*ROUND((Source!AF197*Source!AV197)*Source!I197, 2), 2)</f>
        <v>0</v>
      </c>
      <c r="T237">
        <f>Source!Y197</f>
        <v>0</v>
      </c>
      <c r="U237">
        <f>ROUND((175/100)*ROUND((Source!AE197*Source!AV197)*Source!I197, 2), 2)</f>
        <v>0</v>
      </c>
      <c r="V237">
        <f>ROUND((108/100)*ROUND(Source!CS197*Source!I197, 2), 2)</f>
        <v>0</v>
      </c>
    </row>
    <row r="238" spans="1:22" ht="15" x14ac:dyDescent="0.25">
      <c r="A238" s="26"/>
      <c r="B238" s="26"/>
      <c r="C238" s="26"/>
      <c r="D238" s="26"/>
      <c r="E238" s="26"/>
      <c r="F238" s="26"/>
      <c r="G238" s="26"/>
      <c r="H238" s="26"/>
      <c r="I238" s="56">
        <f>J237</f>
        <v>1025950.01</v>
      </c>
      <c r="J238" s="56"/>
      <c r="K238" s="27">
        <f>IF(Source!I197&lt;&gt;0, ROUND(I238/Source!I197, 2), 0)</f>
        <v>1025950.01</v>
      </c>
      <c r="P238" s="24">
        <f>I238</f>
        <v>1025950.01</v>
      </c>
    </row>
    <row r="239" spans="1:22" ht="169.5" x14ac:dyDescent="0.2">
      <c r="A239" s="18">
        <v>7</v>
      </c>
      <c r="B239" s="18" t="str">
        <f>Source!F198</f>
        <v>Цена поставщика</v>
      </c>
      <c r="C239" s="18" t="s">
        <v>389</v>
      </c>
      <c r="D239" s="19" t="str">
        <f>Source!H198</f>
        <v>компл.</v>
      </c>
      <c r="E239" s="8">
        <f>Source!I198</f>
        <v>1</v>
      </c>
      <c r="F239" s="21">
        <f>Source!AL198</f>
        <v>1372399.97</v>
      </c>
      <c r="G239" s="20" t="str">
        <f>Source!DD198</f>
        <v/>
      </c>
      <c r="H239" s="8">
        <f>Source!AW198</f>
        <v>1</v>
      </c>
      <c r="I239" s="8">
        <f>IF(Source!BC198&lt;&gt; 0, Source!BC198, 1)</f>
        <v>1</v>
      </c>
      <c r="J239" s="21">
        <f>Source!P198</f>
        <v>1372399.97</v>
      </c>
      <c r="K239" s="21"/>
      <c r="Q239">
        <f>ROUND((Source!BZ198/100)*ROUND((Source!AF198*Source!AV198)*Source!I198, 2), 2)</f>
        <v>0</v>
      </c>
      <c r="R239">
        <f>Source!X198</f>
        <v>0</v>
      </c>
      <c r="S239">
        <f>ROUND((Source!CA198/100)*ROUND((Source!AF198*Source!AV198)*Source!I198, 2), 2)</f>
        <v>0</v>
      </c>
      <c r="T239">
        <f>Source!Y198</f>
        <v>0</v>
      </c>
      <c r="U239">
        <f>ROUND((175/100)*ROUND((Source!AE198*Source!AV198)*Source!I198, 2), 2)</f>
        <v>0</v>
      </c>
      <c r="V239">
        <f>ROUND((108/100)*ROUND(Source!CS198*Source!I198, 2), 2)</f>
        <v>0</v>
      </c>
    </row>
    <row r="240" spans="1:22" ht="15" x14ac:dyDescent="0.25">
      <c r="A240" s="26"/>
      <c r="B240" s="26"/>
      <c r="C240" s="26"/>
      <c r="D240" s="26"/>
      <c r="E240" s="26"/>
      <c r="F240" s="26"/>
      <c r="G240" s="26"/>
      <c r="H240" s="26"/>
      <c r="I240" s="56">
        <f>J239</f>
        <v>1372399.97</v>
      </c>
      <c r="J240" s="56"/>
      <c r="K240" s="27">
        <f>IF(Source!I198&lt;&gt;0, ROUND(I240/Source!I198, 2), 0)</f>
        <v>1372399.97</v>
      </c>
      <c r="P240" s="24">
        <f>I240</f>
        <v>1372399.97</v>
      </c>
    </row>
    <row r="241" spans="1:22" ht="169.5" x14ac:dyDescent="0.2">
      <c r="A241" s="18">
        <v>8</v>
      </c>
      <c r="B241" s="18" t="str">
        <f>Source!F199</f>
        <v>Цена поставщика</v>
      </c>
      <c r="C241" s="18" t="s">
        <v>390</v>
      </c>
      <c r="D241" s="19" t="str">
        <f>Source!H199</f>
        <v>компл.</v>
      </c>
      <c r="E241" s="8">
        <f>Source!I199</f>
        <v>1</v>
      </c>
      <c r="F241" s="21">
        <f>Source!AL199</f>
        <v>1008000.02</v>
      </c>
      <c r="G241" s="20" t="str">
        <f>Source!DD199</f>
        <v/>
      </c>
      <c r="H241" s="8">
        <f>Source!AW199</f>
        <v>1</v>
      </c>
      <c r="I241" s="8">
        <f>IF(Source!BC199&lt;&gt; 0, Source!BC199, 1)</f>
        <v>1</v>
      </c>
      <c r="J241" s="21">
        <f>Source!P199</f>
        <v>1008000.02</v>
      </c>
      <c r="K241" s="21"/>
      <c r="Q241">
        <f>ROUND((Source!BZ199/100)*ROUND((Source!AF199*Source!AV199)*Source!I199, 2), 2)</f>
        <v>0</v>
      </c>
      <c r="R241">
        <f>Source!X199</f>
        <v>0</v>
      </c>
      <c r="S241">
        <f>ROUND((Source!CA199/100)*ROUND((Source!AF199*Source!AV199)*Source!I199, 2), 2)</f>
        <v>0</v>
      </c>
      <c r="T241">
        <f>Source!Y199</f>
        <v>0</v>
      </c>
      <c r="U241">
        <f>ROUND((175/100)*ROUND((Source!AE199*Source!AV199)*Source!I199, 2), 2)</f>
        <v>0</v>
      </c>
      <c r="V241">
        <f>ROUND((108/100)*ROUND(Source!CS199*Source!I199, 2), 2)</f>
        <v>0</v>
      </c>
    </row>
    <row r="242" spans="1:22" ht="15" x14ac:dyDescent="0.25">
      <c r="A242" s="26"/>
      <c r="B242" s="26"/>
      <c r="C242" s="26"/>
      <c r="D242" s="26"/>
      <c r="E242" s="26"/>
      <c r="F242" s="26"/>
      <c r="G242" s="26"/>
      <c r="H242" s="26"/>
      <c r="I242" s="56">
        <f>J241</f>
        <v>1008000.02</v>
      </c>
      <c r="J242" s="56"/>
      <c r="K242" s="27">
        <f>IF(Source!I199&lt;&gt;0, ROUND(I242/Source!I199, 2), 0)</f>
        <v>1008000.02</v>
      </c>
      <c r="P242" s="24">
        <f>I242</f>
        <v>1008000.02</v>
      </c>
    </row>
    <row r="243" spans="1:22" ht="84" x14ac:dyDescent="0.2">
      <c r="A243" s="18">
        <v>9</v>
      </c>
      <c r="B243" s="18" t="str">
        <f>Source!F200</f>
        <v>Цена поставщика</v>
      </c>
      <c r="C243" s="18" t="s">
        <v>391</v>
      </c>
      <c r="D243" s="19" t="str">
        <f>Source!H200</f>
        <v>компл.</v>
      </c>
      <c r="E243" s="8">
        <f>Source!I200</f>
        <v>1</v>
      </c>
      <c r="F243" s="21">
        <f>Source!AL200</f>
        <v>1134331.6299999999</v>
      </c>
      <c r="G243" s="20" t="str">
        <f>Source!DD200</f>
        <v/>
      </c>
      <c r="H243" s="8">
        <f>Source!AW200</f>
        <v>1</v>
      </c>
      <c r="I243" s="8">
        <f>IF(Source!BC200&lt;&gt; 0, Source!BC200, 1)</f>
        <v>1</v>
      </c>
      <c r="J243" s="21">
        <f>Source!P200</f>
        <v>1134331.6299999999</v>
      </c>
      <c r="K243" s="21"/>
      <c r="Q243">
        <f>ROUND((Source!BZ200/100)*ROUND((Source!AF200*Source!AV200)*Source!I200, 2), 2)</f>
        <v>0</v>
      </c>
      <c r="R243">
        <f>Source!X200</f>
        <v>0</v>
      </c>
      <c r="S243">
        <f>ROUND((Source!CA200/100)*ROUND((Source!AF200*Source!AV200)*Source!I200, 2), 2)</f>
        <v>0</v>
      </c>
      <c r="T243">
        <f>Source!Y200</f>
        <v>0</v>
      </c>
      <c r="U243">
        <f>ROUND((175/100)*ROUND((Source!AE200*Source!AV200)*Source!I200, 2), 2)</f>
        <v>0</v>
      </c>
      <c r="V243">
        <f>ROUND((108/100)*ROUND(Source!CS200*Source!I200, 2), 2)</f>
        <v>0</v>
      </c>
    </row>
    <row r="244" spans="1:22" ht="15" x14ac:dyDescent="0.25">
      <c r="A244" s="26"/>
      <c r="B244" s="26"/>
      <c r="C244" s="26"/>
      <c r="D244" s="26"/>
      <c r="E244" s="26"/>
      <c r="F244" s="26"/>
      <c r="G244" s="26"/>
      <c r="H244" s="26"/>
      <c r="I244" s="56">
        <f>J243</f>
        <v>1134331.6299999999</v>
      </c>
      <c r="J244" s="56"/>
      <c r="K244" s="27">
        <f>IF(Source!I200&lt;&gt;0, ROUND(I244/Source!I200, 2), 0)</f>
        <v>1134331.6299999999</v>
      </c>
      <c r="P244" s="24">
        <f>I244</f>
        <v>1134331.6299999999</v>
      </c>
    </row>
    <row r="246" spans="1:22" ht="15" x14ac:dyDescent="0.25">
      <c r="A246" s="60" t="str">
        <f>CONCATENATE("Итого по разделу: ",IF(Source!G202&lt;&gt;"Новый раздел", Source!G202, ""))</f>
        <v>Итого по разделу: Входная группа</v>
      </c>
      <c r="B246" s="60"/>
      <c r="C246" s="60"/>
      <c r="D246" s="60"/>
      <c r="E246" s="60"/>
      <c r="F246" s="60"/>
      <c r="G246" s="60"/>
      <c r="H246" s="60"/>
      <c r="I246" s="58">
        <f>SUM(P228:P245)</f>
        <v>12079031.099999998</v>
      </c>
      <c r="J246" s="59"/>
      <c r="K246" s="29"/>
    </row>
    <row r="249" spans="1:22" ht="15" x14ac:dyDescent="0.25">
      <c r="A249" s="60" t="str">
        <f>CONCATENATE("Итого по локальной смете: ",IF(Source!G232&lt;&gt;"Новая локальная смета", Source!G232, ""))</f>
        <v>Итого по локальной смете: Декорационное оформление</v>
      </c>
      <c r="B249" s="60"/>
      <c r="C249" s="60"/>
      <c r="D249" s="60"/>
      <c r="E249" s="60"/>
      <c r="F249" s="60"/>
      <c r="G249" s="60"/>
      <c r="H249" s="60"/>
      <c r="I249" s="58">
        <f>SUM(P219:P248)</f>
        <v>14027181.329999998</v>
      </c>
      <c r="J249" s="59"/>
      <c r="K249" s="29"/>
    </row>
    <row r="251" spans="1:22" ht="14.25" x14ac:dyDescent="0.2">
      <c r="C251" s="45" t="str">
        <f>Source!H261</f>
        <v>НДС 20%</v>
      </c>
      <c r="D251" s="45"/>
      <c r="E251" s="45"/>
      <c r="F251" s="45"/>
      <c r="G251" s="45"/>
      <c r="H251" s="45"/>
      <c r="I251" s="53">
        <f>IF(Source!F261=0, "", Source!F261)</f>
        <v>2805436.27</v>
      </c>
      <c r="J251" s="53"/>
    </row>
    <row r="252" spans="1:22" ht="14.25" x14ac:dyDescent="0.2">
      <c r="C252" s="45" t="str">
        <f>Source!H262</f>
        <v>Итого с НДС</v>
      </c>
      <c r="D252" s="45"/>
      <c r="E252" s="45"/>
      <c r="F252" s="45"/>
      <c r="G252" s="45"/>
      <c r="H252" s="45"/>
      <c r="I252" s="53">
        <f>IF(Source!F262=0, "", Source!F262)</f>
        <v>16832617.600000001</v>
      </c>
      <c r="J252" s="53"/>
    </row>
    <row r="254" spans="1:22" ht="15" x14ac:dyDescent="0.25">
      <c r="A254" s="60" t="str">
        <f>CONCATENATE("Итого по смете: ",IF(Source!G264&lt;&gt;"Новый объект", Source!G264, ""))</f>
        <v>Итого по смете: Выполнение комплекса работ по изготовлению и монтажу декоративных элементов тюбинговой горки</v>
      </c>
      <c r="B254" s="60"/>
      <c r="C254" s="60"/>
      <c r="D254" s="60"/>
      <c r="E254" s="60"/>
      <c r="F254" s="60"/>
      <c r="G254" s="60"/>
      <c r="H254" s="60"/>
      <c r="I254" s="58">
        <f>SUM(P1:P253)</f>
        <v>22185190.059999999</v>
      </c>
      <c r="J254" s="59"/>
      <c r="K254" s="29"/>
    </row>
    <row r="255" spans="1:22" ht="14.25" x14ac:dyDescent="0.2">
      <c r="C255" s="45" t="str">
        <f>Source!H293</f>
        <v>Итого</v>
      </c>
      <c r="D255" s="45"/>
      <c r="E255" s="45"/>
      <c r="F255" s="45"/>
      <c r="G255" s="45"/>
      <c r="H255" s="45"/>
      <c r="I255" s="53">
        <f>IF(Source!F293=0, "", Source!F293)</f>
        <v>22185190.059999999</v>
      </c>
      <c r="J255" s="53"/>
    </row>
    <row r="256" spans="1:22" ht="14.25" x14ac:dyDescent="0.2">
      <c r="C256" s="45" t="str">
        <f>Source!H294</f>
        <v>НДС 20%</v>
      </c>
      <c r="D256" s="45"/>
      <c r="E256" s="45"/>
      <c r="F256" s="45"/>
      <c r="G256" s="45"/>
      <c r="H256" s="45"/>
      <c r="I256" s="53">
        <f>IF(Source!F294=0, "", Source!F294)</f>
        <v>4437038.01</v>
      </c>
      <c r="J256" s="53"/>
    </row>
    <row r="257" spans="1:11" ht="14.25" x14ac:dyDescent="0.2">
      <c r="C257" s="45" t="str">
        <f>Source!H295</f>
        <v>Всего</v>
      </c>
      <c r="D257" s="45"/>
      <c r="E257" s="45"/>
      <c r="F257" s="45"/>
      <c r="G257" s="45"/>
      <c r="H257" s="45"/>
      <c r="I257" s="53">
        <f>IF(Source!F295=0, "", Source!F295)</f>
        <v>26622228.07</v>
      </c>
      <c r="J257" s="53"/>
    </row>
    <row r="260" spans="1:11" ht="14.25" x14ac:dyDescent="0.2">
      <c r="A260" s="61" t="s">
        <v>392</v>
      </c>
      <c r="B260" s="61"/>
      <c r="C260" s="30" t="str">
        <f>IF(Source!AC12&lt;&gt;"", Source!AC12," ")</f>
        <v xml:space="preserve"> </v>
      </c>
      <c r="D260" s="30"/>
      <c r="E260" s="30"/>
      <c r="F260" s="30"/>
      <c r="G260" s="30"/>
      <c r="H260" s="9" t="str">
        <f>IF(Source!AB12&lt;&gt;"", Source!AB12," ")</f>
        <v xml:space="preserve"> </v>
      </c>
      <c r="I260" s="9"/>
      <c r="J260" s="9"/>
      <c r="K260" s="9"/>
    </row>
    <row r="261" spans="1:11" ht="14.25" x14ac:dyDescent="0.2">
      <c r="A261" s="9"/>
      <c r="B261" s="9"/>
      <c r="C261" s="62" t="s">
        <v>393</v>
      </c>
      <c r="D261" s="62"/>
      <c r="E261" s="62"/>
      <c r="F261" s="62"/>
      <c r="G261" s="62"/>
      <c r="H261" s="9"/>
      <c r="I261" s="9"/>
      <c r="J261" s="9"/>
      <c r="K261" s="9"/>
    </row>
    <row r="262" spans="1:11" ht="14.25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</row>
    <row r="263" spans="1:11" ht="14.25" x14ac:dyDescent="0.2">
      <c r="A263" s="61" t="s">
        <v>394</v>
      </c>
      <c r="B263" s="61"/>
      <c r="C263" s="30" t="str">
        <f>IF(Source!AE12&lt;&gt;"", Source!AE12," ")</f>
        <v xml:space="preserve"> </v>
      </c>
      <c r="D263" s="30"/>
      <c r="E263" s="30"/>
      <c r="F263" s="30"/>
      <c r="G263" s="30"/>
      <c r="H263" s="9" t="str">
        <f>IF(Source!AD12&lt;&gt;"", Source!AD12," ")</f>
        <v xml:space="preserve"> </v>
      </c>
      <c r="I263" s="9"/>
      <c r="J263" s="9"/>
      <c r="K263" s="9"/>
    </row>
    <row r="264" spans="1:11" ht="14.25" x14ac:dyDescent="0.2">
      <c r="A264" s="9"/>
      <c r="B264" s="9"/>
      <c r="C264" s="62" t="s">
        <v>393</v>
      </c>
      <c r="D264" s="62"/>
      <c r="E264" s="62"/>
      <c r="F264" s="62"/>
      <c r="G264" s="62"/>
      <c r="H264" s="9"/>
      <c r="I264" s="9"/>
      <c r="J264" s="9"/>
      <c r="K264" s="9"/>
    </row>
  </sheetData>
  <mergeCells count="97">
    <mergeCell ref="A260:B260"/>
    <mergeCell ref="C261:G261"/>
    <mergeCell ref="A263:B263"/>
    <mergeCell ref="C264:G264"/>
    <mergeCell ref="C255:H255"/>
    <mergeCell ref="I255:J255"/>
    <mergeCell ref="C256:H256"/>
    <mergeCell ref="I256:J256"/>
    <mergeCell ref="C257:H257"/>
    <mergeCell ref="I257:J257"/>
    <mergeCell ref="C251:H251"/>
    <mergeCell ref="I251:J251"/>
    <mergeCell ref="C252:H252"/>
    <mergeCell ref="I252:J252"/>
    <mergeCell ref="I254:J254"/>
    <mergeCell ref="A254:H254"/>
    <mergeCell ref="I242:J242"/>
    <mergeCell ref="I244:J244"/>
    <mergeCell ref="I246:J246"/>
    <mergeCell ref="A246:H246"/>
    <mergeCell ref="I249:J249"/>
    <mergeCell ref="A249:H249"/>
    <mergeCell ref="I240:J240"/>
    <mergeCell ref="A219:K219"/>
    <mergeCell ref="A221:K221"/>
    <mergeCell ref="I223:J223"/>
    <mergeCell ref="I225:J225"/>
    <mergeCell ref="A225:H225"/>
    <mergeCell ref="A228:K228"/>
    <mergeCell ref="I230:J230"/>
    <mergeCell ref="I232:J232"/>
    <mergeCell ref="I234:J234"/>
    <mergeCell ref="I236:J236"/>
    <mergeCell ref="I238:J238"/>
    <mergeCell ref="C215:H215"/>
    <mergeCell ref="I215:J215"/>
    <mergeCell ref="C216:H216"/>
    <mergeCell ref="I216:J216"/>
    <mergeCell ref="C217:H217"/>
    <mergeCell ref="I217:J217"/>
    <mergeCell ref="I213:J213"/>
    <mergeCell ref="A213:H213"/>
    <mergeCell ref="I113:J113"/>
    <mergeCell ref="I124:J124"/>
    <mergeCell ref="I135:J135"/>
    <mergeCell ref="I142:J142"/>
    <mergeCell ref="I158:J158"/>
    <mergeCell ref="I174:J174"/>
    <mergeCell ref="I190:J190"/>
    <mergeCell ref="I200:J200"/>
    <mergeCell ref="I208:J208"/>
    <mergeCell ref="I210:J210"/>
    <mergeCell ref="A210:H210"/>
    <mergeCell ref="I105:J105"/>
    <mergeCell ref="G30:G32"/>
    <mergeCell ref="H30:H32"/>
    <mergeCell ref="I30:I32"/>
    <mergeCell ref="J30:J32"/>
    <mergeCell ref="A35:K35"/>
    <mergeCell ref="A37:K37"/>
    <mergeCell ref="I47:J47"/>
    <mergeCell ref="I58:J58"/>
    <mergeCell ref="I71:J71"/>
    <mergeCell ref="I84:J84"/>
    <mergeCell ref="I93:J93"/>
    <mergeCell ref="F28:H28"/>
    <mergeCell ref="I28:J28"/>
    <mergeCell ref="A30:A32"/>
    <mergeCell ref="B30:B32"/>
    <mergeCell ref="C30:C32"/>
    <mergeCell ref="D30:D32"/>
    <mergeCell ref="E30:E32"/>
    <mergeCell ref="F30:F32"/>
    <mergeCell ref="F25:H25"/>
    <mergeCell ref="I25:J25"/>
    <mergeCell ref="F26:H26"/>
    <mergeCell ref="I26:J26"/>
    <mergeCell ref="F27:H27"/>
    <mergeCell ref="I27:J27"/>
    <mergeCell ref="A19:K19"/>
    <mergeCell ref="A21:K21"/>
    <mergeCell ref="F23:H23"/>
    <mergeCell ref="I23:J23"/>
    <mergeCell ref="F24:H24"/>
    <mergeCell ref="I24:J24"/>
    <mergeCell ref="A16:K16"/>
    <mergeCell ref="A18:K18"/>
    <mergeCell ref="A15:K15"/>
    <mergeCell ref="B6:E6"/>
    <mergeCell ref="G6:K6"/>
    <mergeCell ref="B10:E10"/>
    <mergeCell ref="G10:K10"/>
    <mergeCell ref="B11:E11"/>
    <mergeCell ref="G11:K11"/>
    <mergeCell ref="J1:K1"/>
    <mergeCell ref="B5:E5"/>
    <mergeCell ref="G5:K5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38BCC-6840-4120-99DD-BD2C8136BFF5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03" x14ac:dyDescent="0.2">
      <c r="F12" t="str">
        <f>Source!F12</f>
        <v>Новый объект</v>
      </c>
      <c r="G12" t="str">
        <f>Source!G12</f>
        <v>Выполнение комплекса работ по изготовлению и монтажу декоративных элементов тюбинговой горки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>
        <v>0</v>
      </c>
      <c r="AK12" t="s">
        <v>3</v>
      </c>
      <c r="AL12" t="s">
        <v>3</v>
      </c>
      <c r="AM12" t="s">
        <v>3</v>
      </c>
      <c r="CY1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18582-7BED-4110-9A3F-710F57C37324}">
  <sheetPr>
    <pageSetUpPr fitToPage="1"/>
  </sheetPr>
  <dimension ref="A1:F93"/>
  <sheetViews>
    <sheetView zoomScaleNormal="100" workbookViewId="0"/>
  </sheetViews>
  <sheetFormatPr defaultRowHeight="12.75" x14ac:dyDescent="0.2"/>
  <cols>
    <col min="1" max="2" width="6.5703125" customWidth="1"/>
    <col min="3" max="3" width="75.5703125" customWidth="1"/>
    <col min="4" max="6" width="15.5703125" customWidth="1"/>
    <col min="30" max="32" width="0" hidden="1" customWidth="1"/>
  </cols>
  <sheetData>
    <row r="1" spans="1:6" x14ac:dyDescent="0.2">
      <c r="A1" s="7" t="str">
        <f>Source!B1</f>
        <v>Smeta.RU Flash  (495) 974-1589</v>
      </c>
    </row>
    <row r="2" spans="1:6" ht="14.25" x14ac:dyDescent="0.2">
      <c r="D2" s="9"/>
      <c r="E2" s="9"/>
    </row>
    <row r="3" spans="1:6" ht="15" x14ac:dyDescent="0.25">
      <c r="D3" s="9"/>
      <c r="E3" s="25" t="s">
        <v>326</v>
      </c>
    </row>
    <row r="4" spans="1:6" ht="15" x14ac:dyDescent="0.25">
      <c r="D4" s="25"/>
      <c r="E4" s="25"/>
    </row>
    <row r="5" spans="1:6" ht="15" x14ac:dyDescent="0.25">
      <c r="D5" s="59" t="s">
        <v>395</v>
      </c>
      <c r="E5" s="59"/>
    </row>
    <row r="6" spans="1:6" ht="15" x14ac:dyDescent="0.25">
      <c r="D6" s="25"/>
      <c r="E6" s="25"/>
    </row>
    <row r="7" spans="1:6" ht="15" x14ac:dyDescent="0.25">
      <c r="D7" s="59" t="s">
        <v>395</v>
      </c>
      <c r="E7" s="59"/>
    </row>
    <row r="8" spans="1:6" ht="15" x14ac:dyDescent="0.25">
      <c r="D8" s="25"/>
      <c r="E8" s="25"/>
    </row>
    <row r="9" spans="1:6" ht="15" x14ac:dyDescent="0.25">
      <c r="D9" s="25" t="s">
        <v>396</v>
      </c>
      <c r="E9" s="9"/>
    </row>
    <row r="10" spans="1:6" ht="14.25" x14ac:dyDescent="0.2">
      <c r="D10" s="9"/>
      <c r="E10" s="9"/>
    </row>
    <row r="12" spans="1:6" ht="15.75" x14ac:dyDescent="0.2">
      <c r="B12" s="64" t="str">
        <f>CONCATENATE("Ведомость объемов работ ", IF(Source!AN15&lt;&gt;"", Source!AN15," "))</f>
        <v xml:space="preserve">Ведомость объемов работ  </v>
      </c>
      <c r="C12" s="64"/>
      <c r="D12" s="64"/>
      <c r="E12" s="64"/>
    </row>
    <row r="13" spans="1:6" ht="15" x14ac:dyDescent="0.2">
      <c r="B13" s="65" t="str">
        <f>Source!G12</f>
        <v>Выполнение комплекса работ по изготовлению и монтажу декоративных элементов тюбинговой горки</v>
      </c>
      <c r="C13" s="65"/>
      <c r="D13" s="65"/>
      <c r="E13" s="65"/>
    </row>
    <row r="14" spans="1:6" hidden="1" x14ac:dyDescent="0.2"/>
    <row r="16" spans="1:6" ht="28.5" x14ac:dyDescent="0.2">
      <c r="A16" s="15" t="s">
        <v>397</v>
      </c>
      <c r="B16" s="15" t="s">
        <v>398</v>
      </c>
      <c r="C16" s="15" t="s">
        <v>339</v>
      </c>
      <c r="D16" s="15" t="s">
        <v>340</v>
      </c>
      <c r="E16" s="15" t="s">
        <v>399</v>
      </c>
      <c r="F16" s="15" t="s">
        <v>400</v>
      </c>
    </row>
    <row r="17" spans="1:6" ht="14.25" x14ac:dyDescent="0.2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</row>
    <row r="18" spans="1:6" ht="16.5" x14ac:dyDescent="0.25">
      <c r="A18" s="63" t="str">
        <f>CONCATENATE("Локальная смета: ", Source!G20)</f>
        <v>Локальная смета: Новая локальная смета</v>
      </c>
      <c r="B18" s="63"/>
      <c r="C18" s="63"/>
      <c r="D18" s="63"/>
      <c r="E18" s="63"/>
      <c r="F18" s="63"/>
    </row>
    <row r="19" spans="1:6" ht="16.5" x14ac:dyDescent="0.25">
      <c r="A19" s="63" t="str">
        <f>CONCATENATE("Раздел: ", Source!G24)</f>
        <v>Раздел: Электромонтажные работы</v>
      </c>
      <c r="B19" s="63"/>
      <c r="C19" s="63"/>
      <c r="D19" s="63"/>
      <c r="E19" s="63"/>
      <c r="F19" s="63"/>
    </row>
    <row r="20" spans="1:6" ht="42.75" x14ac:dyDescent="0.2">
      <c r="A20" s="15">
        <v>1</v>
      </c>
      <c r="B20" s="15" t="str">
        <f>Source!E28</f>
        <v>1</v>
      </c>
      <c r="C20" s="33" t="str">
        <f>Source!G28</f>
        <v>Установка блока управления шкафного исполнения или распределительного пункта (шкафа) высотой и шириной до 600х600 мм на стену (без стоимости материалов)</v>
      </c>
      <c r="D20" s="15" t="s">
        <v>18</v>
      </c>
      <c r="E20" s="34">
        <f>Source!I28</f>
        <v>3</v>
      </c>
      <c r="F20" s="33"/>
    </row>
    <row r="21" spans="1:6" ht="14.25" x14ac:dyDescent="0.2">
      <c r="A21" s="15">
        <v>1.1000000000000001</v>
      </c>
      <c r="B21" s="15" t="str">
        <f>Source!E29</f>
        <v>1,1</v>
      </c>
      <c r="C21" s="33" t="str">
        <f>Source!G29</f>
        <v>Короб силовой CEE 32A 16A</v>
      </c>
      <c r="D21" s="15" t="s">
        <v>18</v>
      </c>
      <c r="E21" s="34">
        <f>Source!I29</f>
        <v>3</v>
      </c>
      <c r="F21" s="33"/>
    </row>
    <row r="22" spans="1:6" ht="28.5" x14ac:dyDescent="0.2">
      <c r="A22" s="15">
        <v>2</v>
      </c>
      <c r="B22" s="15" t="str">
        <f>Source!E30</f>
        <v>2</v>
      </c>
      <c r="C22" s="33" t="str">
        <f>Source!G30</f>
        <v>Установка съемных и выдвижных блоков (модулей, ячеек, ТЭЗ) - масса до 0,005 т</v>
      </c>
      <c r="D22" s="15" t="s">
        <v>18</v>
      </c>
      <c r="E22" s="34">
        <f>Source!I30</f>
        <v>39</v>
      </c>
      <c r="F22" s="33"/>
    </row>
    <row r="23" spans="1:6" ht="14.25" x14ac:dyDescent="0.2">
      <c r="A23" s="15">
        <v>2.1</v>
      </c>
      <c r="B23" s="15" t="str">
        <f>Source!E31</f>
        <v>2,1</v>
      </c>
      <c r="C23" s="33" t="str">
        <f>Source!G31</f>
        <v>Удлинитель CEE 32A 25 м</v>
      </c>
      <c r="D23" s="15" t="s">
        <v>18</v>
      </c>
      <c r="E23" s="34">
        <f>Source!I31</f>
        <v>3</v>
      </c>
      <c r="F23" s="33"/>
    </row>
    <row r="24" spans="1:6" ht="14.25" x14ac:dyDescent="0.2">
      <c r="A24" s="15">
        <v>2.2000000000000002</v>
      </c>
      <c r="B24" s="15" t="str">
        <f>Source!E32</f>
        <v>2,2</v>
      </c>
      <c r="C24" s="33" t="str">
        <f>Source!G32</f>
        <v>Удлинитель Schuko-Schuko 10 м</v>
      </c>
      <c r="D24" s="15" t="s">
        <v>18</v>
      </c>
      <c r="E24" s="34">
        <f>Source!I32</f>
        <v>10</v>
      </c>
      <c r="F24" s="33"/>
    </row>
    <row r="25" spans="1:6" ht="14.25" x14ac:dyDescent="0.2">
      <c r="A25" s="15">
        <v>2.2999999999999998</v>
      </c>
      <c r="B25" s="15" t="str">
        <f>Source!E33</f>
        <v>2,3</v>
      </c>
      <c r="C25" s="33" t="str">
        <f>Source!G33</f>
        <v>Удлинитель Schuko-Schuko 20 м</v>
      </c>
      <c r="D25" s="15" t="s">
        <v>18</v>
      </c>
      <c r="E25" s="34">
        <f>Source!I33</f>
        <v>10</v>
      </c>
      <c r="F25" s="33"/>
    </row>
    <row r="26" spans="1:6" ht="14.25" x14ac:dyDescent="0.2">
      <c r="A26" s="15">
        <v>2.4</v>
      </c>
      <c r="B26" s="15" t="str">
        <f>Source!E34</f>
        <v>2,4</v>
      </c>
      <c r="C26" s="33" t="str">
        <f>Source!G34</f>
        <v>Удлинитель Schuko-Schuko 30 м</v>
      </c>
      <c r="D26" s="15" t="s">
        <v>18</v>
      </c>
      <c r="E26" s="34">
        <f>Source!I34</f>
        <v>4</v>
      </c>
      <c r="F26" s="33"/>
    </row>
    <row r="27" spans="1:6" ht="14.25" x14ac:dyDescent="0.2">
      <c r="A27" s="15">
        <v>2.5</v>
      </c>
      <c r="B27" s="15" t="str">
        <f>Source!E35</f>
        <v>2,5</v>
      </c>
      <c r="C27" s="33" t="str">
        <f>Source!G35</f>
        <v>Удлинитель Male Schuko - 3 Schuko (тройник\разветвитель)</v>
      </c>
      <c r="D27" s="15" t="s">
        <v>18</v>
      </c>
      <c r="E27" s="34">
        <f>Source!I35</f>
        <v>12</v>
      </c>
      <c r="F27" s="33"/>
    </row>
    <row r="28" spans="1:6" ht="14.25" x14ac:dyDescent="0.2">
      <c r="A28" s="15">
        <v>3</v>
      </c>
      <c r="B28" s="15" t="str">
        <f>Source!E36</f>
        <v>3</v>
      </c>
      <c r="C28" s="33" t="str">
        <f>Source!G36</f>
        <v>Прокладка проводов и кабелей в лотках, провод сечением до 35 мм2</v>
      </c>
      <c r="D28" s="15" t="s">
        <v>50</v>
      </c>
      <c r="E28" s="34">
        <f>Source!I36</f>
        <v>24</v>
      </c>
      <c r="F28" s="33"/>
    </row>
    <row r="29" spans="1:6" ht="42.75" x14ac:dyDescent="0.2">
      <c r="A29" s="15">
        <v>3.1</v>
      </c>
      <c r="B29" s="15" t="str">
        <f>Source!E37</f>
        <v>3,1</v>
      </c>
      <c r="C29" s="33" t="str">
        <f>Source!G37</f>
        <v>Провода силовые с медными жилами в поливинилхлоридной изоляции, марка ПуГВ, номинальное напряжение до 450 В, число жил и сечение 1х10 мм2</v>
      </c>
      <c r="D29" s="15" t="s">
        <v>55</v>
      </c>
      <c r="E29" s="34">
        <f>Source!I37</f>
        <v>-2.472</v>
      </c>
      <c r="F29" s="33"/>
    </row>
    <row r="30" spans="1:6" ht="14.25" x14ac:dyDescent="0.2">
      <c r="A30" s="15">
        <v>3.2</v>
      </c>
      <c r="B30" s="15" t="str">
        <f>Source!E38</f>
        <v>3,2</v>
      </c>
      <c r="C30" s="33" t="str">
        <f>Source!G38</f>
        <v>Кабель соединительный 2х0.75</v>
      </c>
      <c r="D30" s="15" t="s">
        <v>59</v>
      </c>
      <c r="E30" s="34">
        <f>Source!I38</f>
        <v>2400</v>
      </c>
      <c r="F30" s="33"/>
    </row>
    <row r="31" spans="1:6" ht="42.75" x14ac:dyDescent="0.2">
      <c r="A31" s="15">
        <v>4</v>
      </c>
      <c r="B31" s="15" t="str">
        <f>Source!E39</f>
        <v>4</v>
      </c>
      <c r="C31" s="33" t="str">
        <f>Source!G39</f>
        <v>Прокладка труб гофрированных поливинилхлоридных наружным диаметром 20 мм открыто по стенам и потолкам с установкой соединительных коробок</v>
      </c>
      <c r="D31" s="15" t="s">
        <v>50</v>
      </c>
      <c r="E31" s="34">
        <f>Source!I39</f>
        <v>32</v>
      </c>
      <c r="F31" s="33"/>
    </row>
    <row r="32" spans="1:6" ht="42.75" x14ac:dyDescent="0.2">
      <c r="A32" s="15">
        <v>4.0999999999999996</v>
      </c>
      <c r="B32" s="15" t="str">
        <f>Source!E40</f>
        <v>4,1</v>
      </c>
      <c r="C32" s="33" t="str">
        <f>Source!G40</f>
        <v>Коробки клеммные для присоединения проводов к бытовым электроплитам, напряжение 380 В, сила тока 40 А, степень защиты IP44, с монтажными пластинами и распорными лапками, тип КлК-5С</v>
      </c>
      <c r="D32" s="15" t="s">
        <v>18</v>
      </c>
      <c r="E32" s="34">
        <f>Source!I40</f>
        <v>900</v>
      </c>
      <c r="F32" s="33"/>
    </row>
    <row r="33" spans="1:6" ht="42.75" x14ac:dyDescent="0.2">
      <c r="A33" s="15">
        <v>4.2</v>
      </c>
      <c r="B33" s="15" t="str">
        <f>Source!E41</f>
        <v>4,2</v>
      </c>
      <c r="C33" s="33" t="str">
        <f>Source!G41</f>
        <v>Коробки для выполнения соединений и ответвлений электрических кабелей и проводов сечением до 4 мм2, прокладываемых в неметаллических трубах, тип КОР-73 УЗ</v>
      </c>
      <c r="D33" s="15" t="s">
        <v>18</v>
      </c>
      <c r="E33" s="34">
        <f>Source!I41</f>
        <v>-160</v>
      </c>
      <c r="F33" s="33"/>
    </row>
    <row r="34" spans="1:6" ht="42.75" x14ac:dyDescent="0.2">
      <c r="A34" s="15">
        <v>5</v>
      </c>
      <c r="B34" s="15" t="str">
        <f>Source!E42</f>
        <v>5</v>
      </c>
      <c r="C34" s="33" t="str">
        <f>Source!G42</f>
        <v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16 мм2 (без стоимости материалов)</v>
      </c>
      <c r="D34" s="15" t="s">
        <v>50</v>
      </c>
      <c r="E34" s="34">
        <f>Source!I42</f>
        <v>8</v>
      </c>
      <c r="F34" s="33"/>
    </row>
    <row r="35" spans="1:6" ht="14.25" x14ac:dyDescent="0.2">
      <c r="A35" s="15">
        <v>5.0999999999999996</v>
      </c>
      <c r="B35" s="15" t="str">
        <f>Source!E43</f>
        <v>5,1</v>
      </c>
      <c r="C35" s="33" t="str">
        <f>Source!G43</f>
        <v>Провод силовой гибкий 3G2,5 круглый</v>
      </c>
      <c r="D35" s="15" t="s">
        <v>59</v>
      </c>
      <c r="E35" s="34">
        <f>Source!I43</f>
        <v>800</v>
      </c>
      <c r="F35" s="33"/>
    </row>
    <row r="36" spans="1:6" ht="14.25" x14ac:dyDescent="0.2">
      <c r="A36" s="15">
        <v>5.2</v>
      </c>
      <c r="B36" s="15" t="str">
        <f>Source!E44</f>
        <v>5,2</v>
      </c>
      <c r="C36" s="33" t="str">
        <f>Source!G44</f>
        <v>Вилка кабельная Schuko 16А 220V 2P+E IP 54</v>
      </c>
      <c r="D36" s="15" t="s">
        <v>18</v>
      </c>
      <c r="E36" s="34">
        <f>Source!I44</f>
        <v>30</v>
      </c>
      <c r="F36" s="33"/>
    </row>
    <row r="37" spans="1:6" ht="42.75" x14ac:dyDescent="0.2">
      <c r="A37" s="15">
        <v>6</v>
      </c>
      <c r="B37" s="15" t="str">
        <f>Source!E45</f>
        <v>6</v>
      </c>
      <c r="C37" s="33" t="str">
        <f>Source!G45</f>
        <v>Прокладка коробок ответвительных к распределительному шинопроводу, коробок с предохранителем или разъединителем, или автоматом, или указателем напряжения (без стоимости материалов)</v>
      </c>
      <c r="D37" s="15" t="s">
        <v>86</v>
      </c>
      <c r="E37" s="34">
        <f>Source!I45</f>
        <v>0.9</v>
      </c>
      <c r="F37" s="33"/>
    </row>
    <row r="38" spans="1:6" ht="28.5" x14ac:dyDescent="0.2">
      <c r="A38" s="15">
        <v>6.1</v>
      </c>
      <c r="B38" s="15" t="str">
        <f>Source!E46</f>
        <v>6,1</v>
      </c>
      <c r="C38" s="33" t="str">
        <f>Source!G46</f>
        <v>Распределительная коробка водонепроницаемая на 3 выхода, 450V, 140x78x36</v>
      </c>
      <c r="D38" s="15" t="s">
        <v>18</v>
      </c>
      <c r="E38" s="34">
        <f>Source!I46</f>
        <v>16</v>
      </c>
      <c r="F38" s="33"/>
    </row>
    <row r="39" spans="1:6" ht="28.5" x14ac:dyDescent="0.2">
      <c r="A39" s="15">
        <v>6.2</v>
      </c>
      <c r="B39" s="15" t="str">
        <f>Source!E47</f>
        <v>6,2</v>
      </c>
      <c r="C39" s="33" t="str">
        <f>Source!G47</f>
        <v>Распределительная коробка водонепроницаемая на 2 выхода, 450V, 125x55x36</v>
      </c>
      <c r="D39" s="15" t="s">
        <v>18</v>
      </c>
      <c r="E39" s="34">
        <f>Source!I47</f>
        <v>74</v>
      </c>
      <c r="F39" s="33"/>
    </row>
    <row r="40" spans="1:6" ht="14.25" x14ac:dyDescent="0.2">
      <c r="A40" s="15">
        <v>6.3</v>
      </c>
      <c r="B40" s="15" t="str">
        <f>Source!E48</f>
        <v>6,3</v>
      </c>
      <c r="C40" s="33" t="str">
        <f>Source!G48</f>
        <v>Разъемы герметичные (штекер-гнездо) IP67, 5 А, 250 В</v>
      </c>
      <c r="D40" s="15" t="s">
        <v>18</v>
      </c>
      <c r="E40" s="34">
        <f>Source!I48</f>
        <v>100</v>
      </c>
      <c r="F40" s="33"/>
    </row>
    <row r="41" spans="1:6" ht="28.5" x14ac:dyDescent="0.2">
      <c r="A41" s="15">
        <v>6.4</v>
      </c>
      <c r="B41" s="15" t="str">
        <f>Source!E49</f>
        <v>6,4</v>
      </c>
      <c r="C41" s="33" t="str">
        <f>Source!G49</f>
        <v>Наконечники герметичные изолированные под опрессовку, с алюминиевой клеммой, тип CPTA 16</v>
      </c>
      <c r="D41" s="15" t="s">
        <v>18</v>
      </c>
      <c r="E41" s="34">
        <f>Source!I49</f>
        <v>1</v>
      </c>
      <c r="F41" s="33"/>
    </row>
    <row r="42" spans="1:6" ht="28.5" x14ac:dyDescent="0.2">
      <c r="A42" s="15">
        <v>6.5</v>
      </c>
      <c r="B42" s="15" t="str">
        <f>Source!E50</f>
        <v>6,5</v>
      </c>
      <c r="C42" s="33" t="str">
        <f>Source!G50</f>
        <v>Коробки ответвительные алюминиевые для шинопроводов ШРА 4 (ШРА 73), тип У 2051 У3, с автоматическими выключателями</v>
      </c>
      <c r="D42" s="15" t="s">
        <v>18</v>
      </c>
      <c r="E42" s="34">
        <f>Source!I50</f>
        <v>1</v>
      </c>
      <c r="F42" s="33"/>
    </row>
    <row r="43" spans="1:6" ht="28.5" x14ac:dyDescent="0.2">
      <c r="A43" s="15">
        <v>7</v>
      </c>
      <c r="B43" s="15" t="str">
        <f>Source!E51</f>
        <v>7</v>
      </c>
      <c r="C43" s="33" t="str">
        <f>Source!G51</f>
        <v>Установка аппаратуры настольной - аппарата настольного массой до 0,015 т / прим.</v>
      </c>
      <c r="D43" s="15" t="s">
        <v>18</v>
      </c>
      <c r="E43" s="34">
        <f>Source!I51</f>
        <v>25</v>
      </c>
      <c r="F43" s="33"/>
    </row>
    <row r="44" spans="1:6" ht="57" x14ac:dyDescent="0.2">
      <c r="A44" s="15">
        <v>7.1</v>
      </c>
      <c r="B44" s="15" t="str">
        <f>Source!E52</f>
        <v>7,1</v>
      </c>
      <c r="C44" s="33" t="str">
        <f>Source!G52</f>
        <v>Комплект подключения для гибкого неона  (120-220V) с блоком питания до 50 метров.  Светодиодный Гибкий Неон Rich LED, односторонний и двухсторонний,  белый, синий, красный, зелёный  кратность резки 1 метр, размер 8*16 мм, 220 В, 50 м  120-220V-W/W</v>
      </c>
      <c r="D44" s="15" t="s">
        <v>18</v>
      </c>
      <c r="E44" s="34">
        <f>Source!I52</f>
        <v>25</v>
      </c>
      <c r="F44" s="33"/>
    </row>
    <row r="45" spans="1:6" ht="14.25" x14ac:dyDescent="0.2">
      <c r="A45" s="15">
        <v>7.2</v>
      </c>
      <c r="B45" s="15" t="str">
        <f>Source!E53</f>
        <v>7,2</v>
      </c>
      <c r="C45" s="33" t="str">
        <f>Source!G53</f>
        <v>Переходник для неона</v>
      </c>
      <c r="D45" s="15" t="s">
        <v>18</v>
      </c>
      <c r="E45" s="34">
        <f>Source!I53</f>
        <v>100</v>
      </c>
      <c r="F45" s="33"/>
    </row>
    <row r="46" spans="1:6" ht="28.5" x14ac:dyDescent="0.2">
      <c r="A46" s="15">
        <v>8</v>
      </c>
      <c r="B46" s="15" t="str">
        <f>Source!E54</f>
        <v>8</v>
      </c>
      <c r="C46" s="33" t="str">
        <f>Source!G54</f>
        <v>Прокладка кабеля в монтажном кабель-канале по фасаду здания при доступе с автоподъемника (прим.)</v>
      </c>
      <c r="D46" s="15" t="s">
        <v>50</v>
      </c>
      <c r="E46" s="34">
        <f>Source!I54</f>
        <v>0.18</v>
      </c>
      <c r="F46" s="33"/>
    </row>
    <row r="47" spans="1:6" ht="42.75" x14ac:dyDescent="0.2">
      <c r="A47" s="15">
        <v>8.1</v>
      </c>
      <c r="B47" s="15" t="str">
        <f>Source!E55</f>
        <v>8,1</v>
      </c>
      <c r="C47" s="33" t="str">
        <f>Source!G55</f>
        <v>Светодиодный Гибкий Неон LED, односторонний и двухсторонний, белый, синий, красный, зелёный   кратность резки 1 метр, размер 8*16 мм, 220 В, 50 м   120-220V-W/W</v>
      </c>
      <c r="D47" s="15" t="s">
        <v>59</v>
      </c>
      <c r="E47" s="34">
        <f>Source!I55</f>
        <v>18</v>
      </c>
      <c r="F47" s="33"/>
    </row>
    <row r="48" spans="1:6" ht="28.5" x14ac:dyDescent="0.2">
      <c r="A48" s="15">
        <v>9</v>
      </c>
      <c r="B48" s="15" t="str">
        <f>Source!E56</f>
        <v>9</v>
      </c>
      <c r="C48" s="33" t="str">
        <f>Source!G56</f>
        <v>Прокладка кабеля в монтажном кабель-канале по фасаду здания при доступе с автоподъемника</v>
      </c>
      <c r="D48" s="15" t="s">
        <v>50</v>
      </c>
      <c r="E48" s="34">
        <f>Source!I56</f>
        <v>0.14000000000000001</v>
      </c>
      <c r="F48" s="33"/>
    </row>
    <row r="49" spans="1:6" ht="28.5" x14ac:dyDescent="0.2">
      <c r="A49" s="15">
        <v>9.1</v>
      </c>
      <c r="B49" s="15" t="str">
        <f>Source!E57</f>
        <v>9,1</v>
      </c>
      <c r="C49" s="33" t="str">
        <f>Source!G57</f>
        <v>Светодиодная лента герметичная   B60-10mm 24V (14.4 W/m, IP65, 5060, 5m)</v>
      </c>
      <c r="D49" s="15"/>
      <c r="E49" s="34">
        <f>Source!I57</f>
        <v>14</v>
      </c>
      <c r="F49" s="33"/>
    </row>
    <row r="50" spans="1:6" ht="28.5" x14ac:dyDescent="0.2">
      <c r="A50" s="15">
        <v>10</v>
      </c>
      <c r="B50" s="15" t="str">
        <f>Source!E58</f>
        <v>10</v>
      </c>
      <c r="C50" s="33" t="str">
        <f>Source!G58</f>
        <v>Установка аппаратуры настольной - аппарата настольного массой до 0,015 т / блок питания</v>
      </c>
      <c r="D50" s="15" t="s">
        <v>18</v>
      </c>
      <c r="E50" s="34">
        <f>Source!I58</f>
        <v>80</v>
      </c>
      <c r="F50" s="33"/>
    </row>
    <row r="51" spans="1:6" ht="14.25" x14ac:dyDescent="0.2">
      <c r="A51" s="15">
        <v>10.1</v>
      </c>
      <c r="B51" s="15" t="str">
        <f>Source!E59</f>
        <v>10,1</v>
      </c>
      <c r="C51" s="33" t="str">
        <f>Source!G59</f>
        <v>Блок питания 24V 400W   для подключения светодиодной ленты</v>
      </c>
      <c r="D51" s="15" t="s">
        <v>18</v>
      </c>
      <c r="E51" s="34">
        <f>Source!I59</f>
        <v>80</v>
      </c>
      <c r="F51" s="33"/>
    </row>
    <row r="52" spans="1:6" ht="28.5" x14ac:dyDescent="0.2">
      <c r="A52" s="15">
        <v>11</v>
      </c>
      <c r="B52" s="15" t="str">
        <f>Source!E60</f>
        <v>11</v>
      </c>
      <c r="C52" s="33" t="str">
        <f>Source!G60</f>
        <v>Установка прожектора на стальной мачте отдельно, с лампой мощностью 500 Вт / прим. 100 Вт</v>
      </c>
      <c r="D52" s="15" t="s">
        <v>86</v>
      </c>
      <c r="E52" s="34">
        <f>Source!I60</f>
        <v>0.16</v>
      </c>
      <c r="F52" s="33"/>
    </row>
    <row r="53" spans="1:6" ht="14.25" x14ac:dyDescent="0.2">
      <c r="A53" s="15">
        <v>11.1</v>
      </c>
      <c r="B53" s="15" t="str">
        <f>Source!E61</f>
        <v>11,1</v>
      </c>
      <c r="C53" s="33" t="str">
        <f>Source!G61</f>
        <v>Предохранители ПН-2 на номинальное напряжение 500 В, тип ПН-2-100</v>
      </c>
      <c r="D53" s="15" t="s">
        <v>18</v>
      </c>
      <c r="E53" s="34">
        <f>Source!I61</f>
        <v>16</v>
      </c>
      <c r="F53" s="33"/>
    </row>
    <row r="54" spans="1:6" ht="14.25" x14ac:dyDescent="0.2">
      <c r="A54" s="15">
        <v>11.2</v>
      </c>
      <c r="B54" s="15" t="str">
        <f>Source!E62</f>
        <v>11,2</v>
      </c>
      <c r="C54" s="33" t="str">
        <f>Source!G62</f>
        <v>Шина нулевая 6х9 мм на двух угловых пластиковых изоляторах, 4 группы</v>
      </c>
      <c r="D54" s="15" t="s">
        <v>18</v>
      </c>
      <c r="E54" s="34">
        <f>Source!I62</f>
        <v>16</v>
      </c>
      <c r="F54" s="33"/>
    </row>
    <row r="55" spans="1:6" ht="28.5" x14ac:dyDescent="0.2">
      <c r="A55" s="15">
        <v>11.3</v>
      </c>
      <c r="B55" s="15" t="str">
        <f>Source!E63</f>
        <v>11,3</v>
      </c>
      <c r="C55" s="33" t="str">
        <f>Source!G63</f>
        <v>Коробки монтажные установочные пластмассовые, диаметр 60 мм, глубина 40 мм / прим. колпак силиконовый</v>
      </c>
      <c r="D55" s="15" t="s">
        <v>18</v>
      </c>
      <c r="E55" s="34">
        <f>Source!I63</f>
        <v>64</v>
      </c>
      <c r="F55" s="33"/>
    </row>
    <row r="56" spans="1:6" ht="28.5" x14ac:dyDescent="0.2">
      <c r="A56" s="15">
        <v>11.4</v>
      </c>
      <c r="B56" s="15" t="str">
        <f>Source!E64</f>
        <v>11,4</v>
      </c>
      <c r="C56" s="33" t="str">
        <f>Source!G64</f>
        <v>Колодки клеммные для сетей наружного освещения, винтовые, количество контактов 4</v>
      </c>
      <c r="D56" s="15" t="s">
        <v>18</v>
      </c>
      <c r="E56" s="34">
        <f>Source!I64</f>
        <v>16</v>
      </c>
      <c r="F56" s="33"/>
    </row>
    <row r="57" spans="1:6" ht="42.75" x14ac:dyDescent="0.2">
      <c r="A57" s="15">
        <v>11.5</v>
      </c>
      <c r="B57" s="15" t="str">
        <f>Source!E65</f>
        <v>11,5</v>
      </c>
      <c r="C57" s="33" t="str">
        <f>Source!G65</f>
        <v>Муфты соединительные термоусаживаемые для соединения силовых кабелей на напряжение 6, 10 кВ, без соединителей, тип 3 Стп10-240, сечение жил 150-240 мм2</v>
      </c>
      <c r="D57" s="15" t="s">
        <v>154</v>
      </c>
      <c r="E57" s="34">
        <f>Source!I65</f>
        <v>32</v>
      </c>
      <c r="F57" s="33"/>
    </row>
    <row r="58" spans="1:6" ht="28.5" x14ac:dyDescent="0.2">
      <c r="A58" s="15">
        <v>11.6</v>
      </c>
      <c r="B58" s="15" t="str">
        <f>Source!E66</f>
        <v>11,6</v>
      </c>
      <c r="C58" s="33" t="str">
        <f>Source!G66</f>
        <v>Прожектор светодиодный ДО 100 Вт 6500К 10000 лм 100-240В IP65 282х222х68мм Алюминий матовый призматический рассеиватель</v>
      </c>
      <c r="D58" s="15" t="s">
        <v>18</v>
      </c>
      <c r="E58" s="34">
        <f>Source!I66</f>
        <v>16</v>
      </c>
      <c r="F58" s="33"/>
    </row>
    <row r="59" spans="1:6" ht="28.5" x14ac:dyDescent="0.2">
      <c r="A59" s="15">
        <v>12</v>
      </c>
      <c r="B59" s="15" t="str">
        <f>Source!E67</f>
        <v>12</v>
      </c>
      <c r="C59" s="33" t="str">
        <f>Source!G67</f>
        <v>Установка прожектора на стальной мачте отдельно, с лампой мощностью 500 Вт / прим. 100 Вт</v>
      </c>
      <c r="D59" s="15" t="s">
        <v>86</v>
      </c>
      <c r="E59" s="34">
        <f>Source!I67</f>
        <v>0.11</v>
      </c>
      <c r="F59" s="33"/>
    </row>
    <row r="60" spans="1:6" ht="14.25" x14ac:dyDescent="0.2">
      <c r="A60" s="15">
        <v>12.1</v>
      </c>
      <c r="B60" s="15" t="str">
        <f>Source!E68</f>
        <v>12,1</v>
      </c>
      <c r="C60" s="33" t="str">
        <f>Source!G68</f>
        <v>Предохранители ПН-2 на номинальное напряжение 500 В, тип ПН-2-100</v>
      </c>
      <c r="D60" s="15" t="s">
        <v>18</v>
      </c>
      <c r="E60" s="34">
        <f>Source!I68</f>
        <v>11</v>
      </c>
      <c r="F60" s="33"/>
    </row>
    <row r="61" spans="1:6" ht="14.25" x14ac:dyDescent="0.2">
      <c r="A61" s="15">
        <v>12.2</v>
      </c>
      <c r="B61" s="15" t="str">
        <f>Source!E69</f>
        <v>12,2</v>
      </c>
      <c r="C61" s="33" t="str">
        <f>Source!G69</f>
        <v>Шина нулевая 6х9 мм на двух угловых пластиковых изоляторах, 4 группы</v>
      </c>
      <c r="D61" s="15" t="s">
        <v>18</v>
      </c>
      <c r="E61" s="34">
        <f>Source!I69</f>
        <v>11</v>
      </c>
      <c r="F61" s="33"/>
    </row>
    <row r="62" spans="1:6" ht="28.5" x14ac:dyDescent="0.2">
      <c r="A62" s="15">
        <v>12.3</v>
      </c>
      <c r="B62" s="15" t="str">
        <f>Source!E70</f>
        <v>12,3</v>
      </c>
      <c r="C62" s="33" t="str">
        <f>Source!G70</f>
        <v>Коробки монтажные установочные пластмассовые, диаметр 60 мм, глубина 40 мм / прим. колпак силиконовый</v>
      </c>
      <c r="D62" s="15" t="s">
        <v>18</v>
      </c>
      <c r="E62" s="34">
        <f>Source!I70</f>
        <v>44</v>
      </c>
      <c r="F62" s="33"/>
    </row>
    <row r="63" spans="1:6" ht="28.5" x14ac:dyDescent="0.2">
      <c r="A63" s="15">
        <v>12.4</v>
      </c>
      <c r="B63" s="15" t="str">
        <f>Source!E71</f>
        <v>12,4</v>
      </c>
      <c r="C63" s="33" t="str">
        <f>Source!G71</f>
        <v>Колодки клеммные для сетей наружного освещения, винтовые, количество контактов 4</v>
      </c>
      <c r="D63" s="15" t="s">
        <v>18</v>
      </c>
      <c r="E63" s="34">
        <f>Source!I71</f>
        <v>11</v>
      </c>
      <c r="F63" s="33"/>
    </row>
    <row r="64" spans="1:6" ht="42.75" x14ac:dyDescent="0.2">
      <c r="A64" s="15">
        <v>12.5</v>
      </c>
      <c r="B64" s="15" t="str">
        <f>Source!E72</f>
        <v>12,5</v>
      </c>
      <c r="C64" s="33" t="str">
        <f>Source!G72</f>
        <v>Муфты соединительные термоусаживаемые для соединения силовых кабелей на напряжение 6, 10 кВ, без соединителей, тип 3 Стп10-240, сечение жил 150-240 мм2</v>
      </c>
      <c r="D64" s="15" t="s">
        <v>154</v>
      </c>
      <c r="E64" s="34">
        <f>Source!I72</f>
        <v>22</v>
      </c>
      <c r="F64" s="33"/>
    </row>
    <row r="65" spans="1:6" ht="28.5" x14ac:dyDescent="0.2">
      <c r="A65" s="15">
        <v>12.6</v>
      </c>
      <c r="B65" s="15" t="str">
        <f>Source!E73</f>
        <v>12,6</v>
      </c>
      <c r="C65" s="33" t="str">
        <f>Source!G73</f>
        <v>Светодиодный линейный прожектор   36LED 6400К, 1000х40х48mm, 36W 85-265V, IP65</v>
      </c>
      <c r="D65" s="15" t="s">
        <v>18</v>
      </c>
      <c r="E65" s="34">
        <f>Source!I73</f>
        <v>11</v>
      </c>
      <c r="F65" s="33"/>
    </row>
    <row r="66" spans="1:6" ht="28.5" x14ac:dyDescent="0.2">
      <c r="A66" s="15">
        <v>13</v>
      </c>
      <c r="B66" s="15" t="str">
        <f>Source!E74</f>
        <v>13</v>
      </c>
      <c r="C66" s="33" t="str">
        <f>Source!G74</f>
        <v>Установка прожектора на стальной мачте отдельно, с лампой мощностью 500 Вт / прим. 100 Вт</v>
      </c>
      <c r="D66" s="15" t="s">
        <v>86</v>
      </c>
      <c r="E66" s="34">
        <f>Source!I74</f>
        <v>0.65</v>
      </c>
      <c r="F66" s="33"/>
    </row>
    <row r="67" spans="1:6" ht="14.25" x14ac:dyDescent="0.2">
      <c r="A67" s="15">
        <v>13.1</v>
      </c>
      <c r="B67" s="15" t="str">
        <f>Source!E75</f>
        <v>13,1</v>
      </c>
      <c r="C67" s="33" t="str">
        <f>Source!G75</f>
        <v>Предохранители ПН-2 на номинальное напряжение 500 В, тип ПН-2-100</v>
      </c>
      <c r="D67" s="15" t="s">
        <v>18</v>
      </c>
      <c r="E67" s="34">
        <f>Source!I75</f>
        <v>65</v>
      </c>
      <c r="F67" s="33"/>
    </row>
    <row r="68" spans="1:6" ht="14.25" x14ac:dyDescent="0.2">
      <c r="A68" s="15">
        <v>13.2</v>
      </c>
      <c r="B68" s="15" t="str">
        <f>Source!E76</f>
        <v>13,2</v>
      </c>
      <c r="C68" s="33" t="str">
        <f>Source!G76</f>
        <v>Шина нулевая 6х9 мм на двух угловых пластиковых изоляторах, 4 группы</v>
      </c>
      <c r="D68" s="15" t="s">
        <v>18</v>
      </c>
      <c r="E68" s="34">
        <f>Source!I76</f>
        <v>65</v>
      </c>
      <c r="F68" s="33"/>
    </row>
    <row r="69" spans="1:6" ht="28.5" x14ac:dyDescent="0.2">
      <c r="A69" s="15">
        <v>13.3</v>
      </c>
      <c r="B69" s="15" t="str">
        <f>Source!E77</f>
        <v>13,3</v>
      </c>
      <c r="C69" s="33" t="str">
        <f>Source!G77</f>
        <v>Коробки монтажные установочные пластмассовые, диаметр 60 мм, глубина 40 мм / прим. колпак силиконовый</v>
      </c>
      <c r="D69" s="15" t="s">
        <v>18</v>
      </c>
      <c r="E69" s="34">
        <f>Source!I77</f>
        <v>260</v>
      </c>
      <c r="F69" s="33"/>
    </row>
    <row r="70" spans="1:6" ht="28.5" x14ac:dyDescent="0.2">
      <c r="A70" s="15">
        <v>13.4</v>
      </c>
      <c r="B70" s="15" t="str">
        <f>Source!E78</f>
        <v>13,4</v>
      </c>
      <c r="C70" s="33" t="str">
        <f>Source!G78</f>
        <v>Колодки клеммные для сетей наружного освещения, винтовые, количество контактов 4</v>
      </c>
      <c r="D70" s="15" t="s">
        <v>18</v>
      </c>
      <c r="E70" s="34">
        <f>Source!I78</f>
        <v>65</v>
      </c>
      <c r="F70" s="33"/>
    </row>
    <row r="71" spans="1:6" ht="42.75" x14ac:dyDescent="0.2">
      <c r="A71" s="15">
        <v>13.5</v>
      </c>
      <c r="B71" s="15" t="str">
        <f>Source!E79</f>
        <v>13,5</v>
      </c>
      <c r="C71" s="33" t="str">
        <f>Source!G79</f>
        <v>Муфты соединительные термоусаживаемые для соединения силовых кабелей на напряжение 6, 10 кВ, без соединителей, тип 3 Стп10-240, сечение жил 150-240 мм2</v>
      </c>
      <c r="D71" s="15" t="s">
        <v>154</v>
      </c>
      <c r="E71" s="34">
        <f>Source!I79</f>
        <v>130</v>
      </c>
      <c r="F71" s="33"/>
    </row>
    <row r="72" spans="1:6" ht="14.25" x14ac:dyDescent="0.2">
      <c r="A72" s="15">
        <v>13.6</v>
      </c>
      <c r="B72" s="15" t="str">
        <f>Source!E80</f>
        <v>13,6</v>
      </c>
      <c r="C72" s="33" t="str">
        <f>Source!G80</f>
        <v>Светодиодный Прожектор  50Вт 4000К IP65 асимметричный</v>
      </c>
      <c r="D72" s="15" t="s">
        <v>18</v>
      </c>
      <c r="E72" s="34">
        <f>Source!I80</f>
        <v>65</v>
      </c>
      <c r="F72" s="33"/>
    </row>
    <row r="73" spans="1:6" ht="42.75" x14ac:dyDescent="0.2">
      <c r="A73" s="15">
        <v>14</v>
      </c>
      <c r="B73" s="15" t="str">
        <f>Source!E81</f>
        <v>14</v>
      </c>
      <c r="C73" s="33" t="str">
        <f>Source!G81</f>
        <v>Установка блока управления шкафного исполнения или распределительного пункта (шкафа) высотой и шириной до 600х600 мм на стену (без стоимости материалов)</v>
      </c>
      <c r="D73" s="15" t="s">
        <v>18</v>
      </c>
      <c r="E73" s="34">
        <f>Source!I81</f>
        <v>8</v>
      </c>
      <c r="F73" s="33"/>
    </row>
    <row r="74" spans="1:6" ht="14.25" x14ac:dyDescent="0.2">
      <c r="A74" s="15">
        <v>14.1</v>
      </c>
      <c r="B74" s="15" t="str">
        <f>Source!E82</f>
        <v>14,1</v>
      </c>
      <c r="C74" s="33" t="str">
        <f>Source!G82</f>
        <v>Шкаф коммутационный для блоков питания</v>
      </c>
      <c r="D74" s="15" t="s">
        <v>18</v>
      </c>
      <c r="E74" s="34">
        <f>Source!I82</f>
        <v>8</v>
      </c>
      <c r="F74" s="33"/>
    </row>
    <row r="75" spans="1:6" ht="42.75" x14ac:dyDescent="0.2">
      <c r="A75" s="15">
        <v>15</v>
      </c>
      <c r="B75" s="15" t="str">
        <f>Source!E83</f>
        <v>15</v>
      </c>
      <c r="C75" s="33" t="str">
        <f>Source!G83</f>
        <v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 до 16 мм2 (без стоимости материалов)</v>
      </c>
      <c r="D75" s="15" t="s">
        <v>50</v>
      </c>
      <c r="E75" s="34">
        <f>Source!I83</f>
        <v>3</v>
      </c>
      <c r="F75" s="33"/>
    </row>
    <row r="76" spans="1:6" ht="14.25" x14ac:dyDescent="0.2">
      <c r="A76" s="15">
        <v>15.1</v>
      </c>
      <c r="B76" s="15" t="str">
        <f>Source!E84</f>
        <v>15,1</v>
      </c>
      <c r="C76" s="33" t="str">
        <f>Source!G84</f>
        <v>Нержавеющий трос в пвх оплетке 3,0/4,0 мм, 100м</v>
      </c>
      <c r="D76" s="15" t="s">
        <v>59</v>
      </c>
      <c r="E76" s="34">
        <f>Source!I84</f>
        <v>3</v>
      </c>
      <c r="F76" s="33"/>
    </row>
    <row r="77" spans="1:6" ht="16.5" x14ac:dyDescent="0.25">
      <c r="A77" s="63" t="str">
        <f>CONCATENATE("Локальная смета: ", Source!G149)</f>
        <v>Локальная смета: Декорационное оформление</v>
      </c>
      <c r="B77" s="63"/>
      <c r="C77" s="63"/>
      <c r="D77" s="63"/>
      <c r="E77" s="63"/>
      <c r="F77" s="63"/>
    </row>
    <row r="78" spans="1:6" ht="16.5" x14ac:dyDescent="0.25">
      <c r="A78" s="63" t="str">
        <f>CONCATENATE("Раздел: ", Source!G153)</f>
        <v>Раздел: Разработка дизайн-проекта</v>
      </c>
      <c r="B78" s="63"/>
      <c r="C78" s="63"/>
      <c r="D78" s="63"/>
      <c r="E78" s="63"/>
      <c r="F78" s="63"/>
    </row>
    <row r="79" spans="1:6" ht="14.25" x14ac:dyDescent="0.2">
      <c r="A79" s="15">
        <v>16</v>
      </c>
      <c r="B79" s="15" t="str">
        <f>Source!E157</f>
        <v>1</v>
      </c>
      <c r="C79" s="33" t="str">
        <f>Source!G157</f>
        <v>Разработка дизайн-проекта</v>
      </c>
      <c r="D79" s="15" t="s">
        <v>18</v>
      </c>
      <c r="E79" s="34">
        <f>Source!I157</f>
        <v>1</v>
      </c>
      <c r="F79" s="33"/>
    </row>
    <row r="80" spans="1:6" ht="16.5" x14ac:dyDescent="0.25">
      <c r="A80" s="63" t="str">
        <f>CONCATENATE("Раздел: ", Source!G189)</f>
        <v>Раздел: Входная группа</v>
      </c>
      <c r="B80" s="63"/>
      <c r="C80" s="63"/>
      <c r="D80" s="63"/>
      <c r="E80" s="63"/>
      <c r="F80" s="63"/>
    </row>
    <row r="81" spans="1:6" ht="57" x14ac:dyDescent="0.2">
      <c r="A81" s="15">
        <v>17</v>
      </c>
      <c r="B81" s="15" t="str">
        <f>Source!E193</f>
        <v>2</v>
      </c>
      <c r="C81" s="33" t="str">
        <f>Source!G193</f>
        <v>Ограждения Н 1100 58000*1100  (Силовой конструктив -каркас 638 м2 , металлический каркас, окрасочные работы, белый мат, полноцветная печать на баннерной ткани 720 dpi , монтажный крепеж. Ниша для подсветки 50*25 ,580 м.п. уголок улюминиевый,монтажный крепеж)</v>
      </c>
      <c r="D81" s="15" t="s">
        <v>154</v>
      </c>
      <c r="E81" s="34">
        <f>Source!I193</f>
        <v>1</v>
      </c>
      <c r="F81" s="33"/>
    </row>
    <row r="82" spans="1:6" ht="57" x14ac:dyDescent="0.2">
      <c r="A82" s="15">
        <v>18</v>
      </c>
      <c r="B82" s="15" t="str">
        <f>Source!E194</f>
        <v>3</v>
      </c>
      <c r="C82" s="33" t="str">
        <f>Source!G194</f>
        <v>Ограждения Н 2100 27000*2100  (Силовой конструктив -каркас 57м2 , металлический каркас, окрасочные работы, белый мат, полноцветная печать на баннерной ткани 720 dpi , монтажный крепеж. Ниша для подсветки 50*25, 580 м.п. уголок улюминиевый,монтажный крепеж)</v>
      </c>
      <c r="D82" s="15" t="s">
        <v>154</v>
      </c>
      <c r="E82" s="34">
        <f>Source!I194</f>
        <v>1</v>
      </c>
      <c r="F82" s="33"/>
    </row>
    <row r="83" spans="1:6" ht="42.75" x14ac:dyDescent="0.2">
      <c r="A83" s="15">
        <v>19</v>
      </c>
      <c r="B83" s="15" t="str">
        <f>Source!E195</f>
        <v>4</v>
      </c>
      <c r="C83" s="33" t="str">
        <f>Source!G195</f>
        <v>Ограждения Н 3700, 2600*3700  (Силовой конструктив -каркас 77м2 , металлический каркас, окрасочные работы, белый мат, полноцветная печать на баннерной ткани 720 dpi , откосы,монтажный крепеж.)</v>
      </c>
      <c r="D83" s="15" t="s">
        <v>154</v>
      </c>
      <c r="E83" s="34">
        <f>Source!I195</f>
        <v>1</v>
      </c>
      <c r="F83" s="33"/>
    </row>
    <row r="84" spans="1:6" ht="57" x14ac:dyDescent="0.2">
      <c r="A84" s="15">
        <v>20</v>
      </c>
      <c r="B84" s="15" t="str">
        <f>Source!E196</f>
        <v>5</v>
      </c>
      <c r="C84" s="33" t="str">
        <f>Source!G196</f>
        <v>Ограждения Н 4000, 10000*4000  (Силовой конструктив -каркас 40м2 , металлический каркас, окрасочные работы, белый мат, полноцветная печать на баннерной ткани 720 dpi , откосы,монтажный крепеж Ниша для подсветки уголок алюминиевый 50*25 ,580 м.п.)</v>
      </c>
      <c r="D84" s="15" t="s">
        <v>154</v>
      </c>
      <c r="E84" s="34">
        <f>Source!I196</f>
        <v>1</v>
      </c>
      <c r="F84" s="33"/>
    </row>
    <row r="85" spans="1:6" ht="85.5" x14ac:dyDescent="0.2">
      <c r="A85" s="15">
        <v>21</v>
      </c>
      <c r="B85" s="15" t="str">
        <f>Source!E197</f>
        <v>6</v>
      </c>
      <c r="C85" s="33" t="str">
        <f>Source!G197</f>
        <v>Надпись 1- Москино, 5200*2100*250 (Силовой конструктив -каркас 2 шт , металлический каркас, окрасочные работы, белый мат, полноцветная печать на баннерной ткани 720 dpi , задник для фиксации ленты) Декорирование обратной стороны (металлический каркас, покрасочные работ, белый мат., баннерный белый, торцевые накладки, герметик, монтажный крепеж)</v>
      </c>
      <c r="D85" s="15" t="s">
        <v>154</v>
      </c>
      <c r="E85" s="34">
        <f>Source!I197</f>
        <v>1</v>
      </c>
      <c r="F85" s="33"/>
    </row>
    <row r="86" spans="1:6" ht="85.5" x14ac:dyDescent="0.2">
      <c r="A86" s="15">
        <v>22</v>
      </c>
      <c r="B86" s="15" t="str">
        <f>Source!E198</f>
        <v>7</v>
      </c>
      <c r="C86" s="33" t="str">
        <f>Source!G198</f>
        <v>Хлопушка 4300*4800*400  (Силовой конструктив -каркас 4 шт, металлический каркас, окрасочные работы, белый мат, полноцветная печать на баннерной ткани 720 dpi , монтажный крепеж.Декорирование обратной стороны (металлический каркас, покрасочные работ, белый мат., баннерный белый, торцевые накладки, герметик, монтажный крепеж) 4 шт.</v>
      </c>
      <c r="D86" s="15" t="s">
        <v>154</v>
      </c>
      <c r="E86" s="34">
        <f>Source!I198</f>
        <v>1</v>
      </c>
      <c r="F86" s="33"/>
    </row>
    <row r="87" spans="1:6" ht="85.5" x14ac:dyDescent="0.2">
      <c r="A87" s="15">
        <v>23</v>
      </c>
      <c r="B87" s="15" t="str">
        <f>Source!E199</f>
        <v>8</v>
      </c>
      <c r="C87" s="33" t="str">
        <f>Source!G199</f>
        <v>Надпись 2- Москино, 7500*2600*400 (Силовой конструктив -каркас 2 шт , металлический каркас, окрасочные работы, белый мат, полноцветная печать на баннерной ткани 720 dpi , задник для фиксации ленты) Декорирование обратной стороны (металлический каркас, покрасочные работ, белый мат., баннерный белый, торцевые накладки, герметик, монтажный крепеж)</v>
      </c>
      <c r="D87" s="15" t="s">
        <v>154</v>
      </c>
      <c r="E87" s="34">
        <f>Source!I199</f>
        <v>1</v>
      </c>
      <c r="F87" s="33"/>
    </row>
    <row r="88" spans="1:6" ht="42.75" x14ac:dyDescent="0.2">
      <c r="A88" s="17">
        <v>24</v>
      </c>
      <c r="B88" s="17" t="str">
        <f>Source!E200</f>
        <v>9</v>
      </c>
      <c r="C88" s="31" t="str">
        <f>Source!G200</f>
        <v>Направляющий профиль под подсветку 600000*25*25, 600 м.п (Силовой конструктив, металлический каркас 25*25 , покрасочные работы, белый мат, куплунг крепеж Т- образный)</v>
      </c>
      <c r="D88" s="17" t="s">
        <v>154</v>
      </c>
      <c r="E88" s="32">
        <f>Source!I200</f>
        <v>1</v>
      </c>
      <c r="F88" s="31"/>
    </row>
    <row r="91" spans="1:6" ht="15" x14ac:dyDescent="0.25">
      <c r="C91" s="35" t="s">
        <v>401</v>
      </c>
      <c r="D91" s="35" t="str">
        <f>IF(Source!X12&lt;&gt;"", Source!X12," ")</f>
        <v xml:space="preserve"> </v>
      </c>
      <c r="E91" s="29"/>
    </row>
    <row r="92" spans="1:6" ht="15" x14ac:dyDescent="0.25">
      <c r="C92" s="9"/>
      <c r="D92" s="29"/>
      <c r="E92" s="29"/>
    </row>
    <row r="93" spans="1:6" ht="15" x14ac:dyDescent="0.25">
      <c r="C93" s="35" t="s">
        <v>402</v>
      </c>
      <c r="D93" s="35" t="str">
        <f>IF(Source!AB12&lt;&gt;"", Source!AB12," ")</f>
        <v xml:space="preserve"> </v>
      </c>
      <c r="E93" s="29"/>
    </row>
  </sheetData>
  <mergeCells count="9">
    <mergeCell ref="A77:F77"/>
    <mergeCell ref="A78:F78"/>
    <mergeCell ref="A80:F80"/>
    <mergeCell ref="D5:E5"/>
    <mergeCell ref="D7:E7"/>
    <mergeCell ref="B12:E12"/>
    <mergeCell ref="B13:E13"/>
    <mergeCell ref="A18:F18"/>
    <mergeCell ref="A19:F19"/>
  </mergeCells>
  <pageMargins left="0.4" right="0.2" top="0.2" bottom="0.4" header="0.2" footer="0.2"/>
  <pageSetup paperSize="9" scale="73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FCAC1-7438-4CD4-B6FE-599B0B8C244B}">
  <dimension ref="A1:AB71"/>
  <sheetViews>
    <sheetView workbookViewId="0"/>
  </sheetViews>
  <sheetFormatPr defaultRowHeight="12.75" x14ac:dyDescent="0.2"/>
  <sheetData>
    <row r="1" spans="1:28" x14ac:dyDescent="0.2">
      <c r="A1" t="s">
        <v>431</v>
      </c>
      <c r="B1" t="s">
        <v>433</v>
      </c>
      <c r="C1" t="s">
        <v>434</v>
      </c>
      <c r="D1" t="s">
        <v>435</v>
      </c>
      <c r="E1" t="s">
        <v>436</v>
      </c>
      <c r="F1" t="s">
        <v>437</v>
      </c>
      <c r="G1" t="s">
        <v>438</v>
      </c>
      <c r="H1" t="s">
        <v>439</v>
      </c>
      <c r="I1" t="s">
        <v>440</v>
      </c>
      <c r="J1" t="s">
        <v>441</v>
      </c>
      <c r="K1" t="s">
        <v>442</v>
      </c>
      <c r="L1" t="s">
        <v>443</v>
      </c>
      <c r="M1" t="s">
        <v>444</v>
      </c>
      <c r="N1" t="s">
        <v>445</v>
      </c>
      <c r="O1" t="s">
        <v>432</v>
      </c>
    </row>
    <row r="2" spans="1:28" x14ac:dyDescent="0.2">
      <c r="A2">
        <v>1</v>
      </c>
      <c r="B2">
        <v>0</v>
      </c>
      <c r="C2">
        <v>0</v>
      </c>
      <c r="D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1</v>
      </c>
      <c r="L2">
        <v>81141517</v>
      </c>
      <c r="M2">
        <v>0</v>
      </c>
      <c r="N2">
        <v>0</v>
      </c>
      <c r="O2">
        <v>0</v>
      </c>
    </row>
    <row r="4" spans="1:28" x14ac:dyDescent="0.2">
      <c r="A4" t="s">
        <v>403</v>
      </c>
      <c r="B4" t="s">
        <v>404</v>
      </c>
      <c r="C4" t="s">
        <v>405</v>
      </c>
      <c r="D4" t="s">
        <v>406</v>
      </c>
      <c r="E4" t="s">
        <v>407</v>
      </c>
      <c r="F4" t="s">
        <v>408</v>
      </c>
      <c r="G4" t="s">
        <v>409</v>
      </c>
      <c r="H4" t="s">
        <v>410</v>
      </c>
      <c r="I4" t="s">
        <v>411</v>
      </c>
      <c r="J4" t="s">
        <v>412</v>
      </c>
      <c r="K4" t="s">
        <v>413</v>
      </c>
      <c r="L4" t="s">
        <v>414</v>
      </c>
      <c r="M4" t="s">
        <v>415</v>
      </c>
      <c r="N4" t="s">
        <v>416</v>
      </c>
      <c r="O4" t="s">
        <v>417</v>
      </c>
      <c r="P4" t="s">
        <v>418</v>
      </c>
      <c r="Q4" t="s">
        <v>419</v>
      </c>
      <c r="R4" t="s">
        <v>420</v>
      </c>
      <c r="S4" t="s">
        <v>421</v>
      </c>
      <c r="T4" t="s">
        <v>422</v>
      </c>
      <c r="U4" t="s">
        <v>426</v>
      </c>
      <c r="V4" t="s">
        <v>427</v>
      </c>
      <c r="W4" t="s">
        <v>428</v>
      </c>
      <c r="X4" t="s">
        <v>429</v>
      </c>
      <c r="Y4" t="s">
        <v>430</v>
      </c>
      <c r="Z4" t="s">
        <v>423</v>
      </c>
      <c r="AA4" t="s">
        <v>424</v>
      </c>
      <c r="AB4" t="s">
        <v>425</v>
      </c>
    </row>
    <row r="6" spans="1:28" x14ac:dyDescent="0.2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">
      <c r="A7">
        <f>Source!A24</f>
        <v>4</v>
      </c>
      <c r="B7">
        <v>24</v>
      </c>
      <c r="G7" t="str">
        <f>Source!G24</f>
        <v>Электромонтажные работы</v>
      </c>
    </row>
    <row r="8" spans="1:28" x14ac:dyDescent="0.2">
      <c r="A8">
        <f>Source!A29</f>
        <v>18</v>
      </c>
      <c r="B8">
        <v>29</v>
      </c>
      <c r="C8">
        <v>3</v>
      </c>
      <c r="D8">
        <f>Source!BI29</f>
        <v>4</v>
      </c>
      <c r="E8">
        <f>Source!FS29</f>
        <v>0</v>
      </c>
      <c r="F8" t="str">
        <f>Source!F29</f>
        <v>Цена поставщика</v>
      </c>
      <c r="G8" t="str">
        <f>Source!G29</f>
        <v>Короб силовой CEE 32A 16A</v>
      </c>
      <c r="H8" t="str">
        <f>Source!H29</f>
        <v>шт.</v>
      </c>
      <c r="I8">
        <f>Source!I29</f>
        <v>3</v>
      </c>
      <c r="J8">
        <v>1</v>
      </c>
      <c r="K8">
        <f>Source!AC29</f>
        <v>44980.08</v>
      </c>
      <c r="M8">
        <f t="shared" ref="M8:M13" si="0">ROUND(K8*I8, 2)</f>
        <v>134940.24</v>
      </c>
      <c r="N8">
        <f>Source!AC29*IF(Source!BC29&lt;&gt; 0, Source!BC29, 1)</f>
        <v>44980.08</v>
      </c>
      <c r="O8">
        <f t="shared" ref="O8:O13" si="1">ROUND(N8*I8, 2)</f>
        <v>134940.24</v>
      </c>
      <c r="P8">
        <f>Source!AE29</f>
        <v>0</v>
      </c>
      <c r="R8">
        <f t="shared" ref="R8:R13" si="2">ROUND(P8*I8, 2)</f>
        <v>0</v>
      </c>
      <c r="S8">
        <f>Source!AE29*IF(Source!BS29&lt;&gt; 0, Source!BS29, 1)</f>
        <v>0</v>
      </c>
      <c r="T8">
        <f t="shared" ref="T8:T13" si="3">ROUND(S8*I8, 2)</f>
        <v>0</v>
      </c>
      <c r="U8">
        <v>3</v>
      </c>
      <c r="Z8">
        <f>Source!GF29</f>
        <v>1652571088</v>
      </c>
      <c r="AA8">
        <v>271493013</v>
      </c>
      <c r="AB8">
        <v>271493013</v>
      </c>
    </row>
    <row r="9" spans="1:28" x14ac:dyDescent="0.2">
      <c r="A9">
        <f>Source!A31</f>
        <v>18</v>
      </c>
      <c r="B9">
        <v>31</v>
      </c>
      <c r="C9">
        <v>3</v>
      </c>
      <c r="D9">
        <f>Source!BI31</f>
        <v>4</v>
      </c>
      <c r="E9">
        <f>Source!FS31</f>
        <v>0</v>
      </c>
      <c r="F9" t="str">
        <f>Source!F31</f>
        <v>Цена поставщика</v>
      </c>
      <c r="G9" t="str">
        <f>Source!G31</f>
        <v>Удлинитель CEE 32A 25 м</v>
      </c>
      <c r="H9" t="str">
        <f>Source!H31</f>
        <v>шт.</v>
      </c>
      <c r="I9">
        <f>Source!I31</f>
        <v>3</v>
      </c>
      <c r="J9">
        <v>1</v>
      </c>
      <c r="K9">
        <f>Source!AC31</f>
        <v>37099.99</v>
      </c>
      <c r="M9">
        <f t="shared" si="0"/>
        <v>111299.97</v>
      </c>
      <c r="N9">
        <f>Source!AC31*IF(Source!BC31&lt;&gt; 0, Source!BC31, 1)</f>
        <v>37099.99</v>
      </c>
      <c r="O9">
        <f t="shared" si="1"/>
        <v>111299.97</v>
      </c>
      <c r="P9">
        <f>Source!AE31</f>
        <v>0</v>
      </c>
      <c r="R9">
        <f t="shared" si="2"/>
        <v>0</v>
      </c>
      <c r="S9">
        <f>Source!AE31*IF(Source!BS31&lt;&gt; 0, Source!BS31, 1)</f>
        <v>0</v>
      </c>
      <c r="T9">
        <f t="shared" si="3"/>
        <v>0</v>
      </c>
      <c r="U9">
        <v>3</v>
      </c>
      <c r="Z9">
        <f>Source!GF31</f>
        <v>347318189</v>
      </c>
      <c r="AA9">
        <v>-1684569384</v>
      </c>
      <c r="AB9">
        <v>-1684569384</v>
      </c>
    </row>
    <row r="10" spans="1:28" x14ac:dyDescent="0.2">
      <c r="A10">
        <f>Source!A32</f>
        <v>18</v>
      </c>
      <c r="B10">
        <v>32</v>
      </c>
      <c r="C10">
        <v>3</v>
      </c>
      <c r="D10">
        <f>Source!BI32</f>
        <v>4</v>
      </c>
      <c r="E10">
        <f>Source!FS32</f>
        <v>0</v>
      </c>
      <c r="F10" t="str">
        <f>Source!F32</f>
        <v>Цена поставщика</v>
      </c>
      <c r="G10" t="str">
        <f>Source!G32</f>
        <v>Удлинитель Schuko-Schuko 10 м</v>
      </c>
      <c r="H10" t="str">
        <f>Source!H32</f>
        <v>шт.</v>
      </c>
      <c r="I10">
        <f>Source!I32</f>
        <v>10</v>
      </c>
      <c r="J10">
        <v>1</v>
      </c>
      <c r="K10">
        <f>Source!AC32</f>
        <v>6150.6</v>
      </c>
      <c r="M10">
        <f t="shared" si="0"/>
        <v>61506</v>
      </c>
      <c r="N10">
        <f>Source!AC32*IF(Source!BC32&lt;&gt; 0, Source!BC32, 1)</f>
        <v>6150.6</v>
      </c>
      <c r="O10">
        <f t="shared" si="1"/>
        <v>61506</v>
      </c>
      <c r="P10">
        <f>Source!AE32</f>
        <v>0</v>
      </c>
      <c r="R10">
        <f t="shared" si="2"/>
        <v>0</v>
      </c>
      <c r="S10">
        <f>Source!AE32*IF(Source!BS32&lt;&gt; 0, Source!BS32, 1)</f>
        <v>0</v>
      </c>
      <c r="T10">
        <f t="shared" si="3"/>
        <v>0</v>
      </c>
      <c r="U10">
        <v>3</v>
      </c>
      <c r="Z10">
        <f>Source!GF32</f>
        <v>-187466034</v>
      </c>
      <c r="AA10">
        <v>416587922</v>
      </c>
      <c r="AB10">
        <v>416587922</v>
      </c>
    </row>
    <row r="11" spans="1:28" x14ac:dyDescent="0.2">
      <c r="A11">
        <f>Source!A33</f>
        <v>18</v>
      </c>
      <c r="B11">
        <v>33</v>
      </c>
      <c r="C11">
        <v>3</v>
      </c>
      <c r="D11">
        <f>Source!BI33</f>
        <v>4</v>
      </c>
      <c r="E11">
        <f>Source!FS33</f>
        <v>0</v>
      </c>
      <c r="F11" t="str">
        <f>Source!F33</f>
        <v>Цена поставщика</v>
      </c>
      <c r="G11" t="str">
        <f>Source!G33</f>
        <v>Удлинитель Schuko-Schuko 20 м</v>
      </c>
      <c r="H11" t="str">
        <f>Source!H33</f>
        <v>шт.</v>
      </c>
      <c r="I11">
        <f>Source!I33</f>
        <v>10</v>
      </c>
      <c r="J11">
        <v>1</v>
      </c>
      <c r="K11">
        <f>Source!AC33</f>
        <v>10506</v>
      </c>
      <c r="M11">
        <f t="shared" si="0"/>
        <v>105060</v>
      </c>
      <c r="N11">
        <f>Source!AC33*IF(Source!BC33&lt;&gt; 0, Source!BC33, 1)</f>
        <v>10506</v>
      </c>
      <c r="O11">
        <f t="shared" si="1"/>
        <v>105060</v>
      </c>
      <c r="P11">
        <f>Source!AE33</f>
        <v>0</v>
      </c>
      <c r="R11">
        <f t="shared" si="2"/>
        <v>0</v>
      </c>
      <c r="S11">
        <f>Source!AE33*IF(Source!BS33&lt;&gt; 0, Source!BS33, 1)</f>
        <v>0</v>
      </c>
      <c r="T11">
        <f t="shared" si="3"/>
        <v>0</v>
      </c>
      <c r="U11">
        <v>3</v>
      </c>
      <c r="Z11">
        <f>Source!GF33</f>
        <v>4058684</v>
      </c>
      <c r="AA11">
        <v>1027995203</v>
      </c>
      <c r="AB11">
        <v>1027995203</v>
      </c>
    </row>
    <row r="12" spans="1:28" x14ac:dyDescent="0.2">
      <c r="A12">
        <f>Source!A34</f>
        <v>18</v>
      </c>
      <c r="B12">
        <v>34</v>
      </c>
      <c r="C12">
        <v>3</v>
      </c>
      <c r="D12">
        <f>Source!BI34</f>
        <v>4</v>
      </c>
      <c r="E12">
        <f>Source!FS34</f>
        <v>0</v>
      </c>
      <c r="F12" t="str">
        <f>Source!F34</f>
        <v>Цена поставщика</v>
      </c>
      <c r="G12" t="str">
        <f>Source!G34</f>
        <v>Удлинитель Schuko-Schuko 30 м</v>
      </c>
      <c r="H12" t="str">
        <f>Source!H34</f>
        <v>шт.</v>
      </c>
      <c r="I12">
        <f>Source!I34</f>
        <v>4</v>
      </c>
      <c r="J12">
        <v>1</v>
      </c>
      <c r="K12">
        <f>Source!AC34</f>
        <v>15399.96</v>
      </c>
      <c r="M12">
        <f t="shared" si="0"/>
        <v>61599.839999999997</v>
      </c>
      <c r="N12">
        <f>Source!AC34*IF(Source!BC34&lt;&gt; 0, Source!BC34, 1)</f>
        <v>15399.96</v>
      </c>
      <c r="O12">
        <f t="shared" si="1"/>
        <v>61599.839999999997</v>
      </c>
      <c r="P12">
        <f>Source!AE34</f>
        <v>0</v>
      </c>
      <c r="R12">
        <f t="shared" si="2"/>
        <v>0</v>
      </c>
      <c r="S12">
        <f>Source!AE34*IF(Source!BS34&lt;&gt; 0, Source!BS34, 1)</f>
        <v>0</v>
      </c>
      <c r="T12">
        <f t="shared" si="3"/>
        <v>0</v>
      </c>
      <c r="U12">
        <v>3</v>
      </c>
      <c r="Z12">
        <f>Source!GF34</f>
        <v>100909151</v>
      </c>
      <c r="AA12">
        <v>-1122133925</v>
      </c>
      <c r="AB12">
        <v>-1122133925</v>
      </c>
    </row>
    <row r="13" spans="1:28" x14ac:dyDescent="0.2">
      <c r="A13">
        <f>Source!A35</f>
        <v>18</v>
      </c>
      <c r="B13">
        <v>35</v>
      </c>
      <c r="C13">
        <v>3</v>
      </c>
      <c r="D13">
        <f>Source!BI35</f>
        <v>4</v>
      </c>
      <c r="E13">
        <f>Source!FS35</f>
        <v>0</v>
      </c>
      <c r="F13" t="str">
        <f>Source!F35</f>
        <v>Цена поставщика</v>
      </c>
      <c r="G13" t="str">
        <f>Source!G35</f>
        <v>Удлинитель Male Schuko - 3 Schuko (тройник\разветвитель)</v>
      </c>
      <c r="H13" t="str">
        <f>Source!H35</f>
        <v>шт.</v>
      </c>
      <c r="I13">
        <f>Source!I35</f>
        <v>12</v>
      </c>
      <c r="J13">
        <v>1</v>
      </c>
      <c r="K13">
        <f>Source!AC35</f>
        <v>7250.04</v>
      </c>
      <c r="M13">
        <f t="shared" si="0"/>
        <v>87000.48</v>
      </c>
      <c r="N13">
        <f>Source!AC35*IF(Source!BC35&lt;&gt; 0, Source!BC35, 1)</f>
        <v>7250.04</v>
      </c>
      <c r="O13">
        <f t="shared" si="1"/>
        <v>87000.48</v>
      </c>
      <c r="P13">
        <f>Source!AE35</f>
        <v>0</v>
      </c>
      <c r="R13">
        <f t="shared" si="2"/>
        <v>0</v>
      </c>
      <c r="S13">
        <f>Source!AE35*IF(Source!BS35&lt;&gt; 0, Source!BS35, 1)</f>
        <v>0</v>
      </c>
      <c r="T13">
        <f t="shared" si="3"/>
        <v>0</v>
      </c>
      <c r="U13">
        <v>3</v>
      </c>
      <c r="Z13">
        <f>Source!GF35</f>
        <v>427429176</v>
      </c>
      <c r="AA13">
        <v>296165420</v>
      </c>
      <c r="AB13">
        <v>296165420</v>
      </c>
    </row>
    <row r="14" spans="1:28" x14ac:dyDescent="0.2">
      <c r="A14">
        <v>20</v>
      </c>
      <c r="B14">
        <v>17</v>
      </c>
      <c r="C14">
        <v>3</v>
      </c>
      <c r="D14">
        <v>0</v>
      </c>
      <c r="E14">
        <f>SmtRes!AV17</f>
        <v>0</v>
      </c>
      <c r="F14" t="str">
        <f>SmtRes!I17</f>
        <v>21.21-5-44</v>
      </c>
      <c r="G14" t="str">
        <f>SmtRes!K17</f>
        <v>Кнопки для ленты ЛМ, тип 3,5</v>
      </c>
      <c r="H14" t="str">
        <f>SmtRes!O17</f>
        <v>1000 шт.</v>
      </c>
      <c r="I14">
        <f>SmtRes!Y17*Source!I36</f>
        <v>0.48</v>
      </c>
      <c r="J14">
        <f>SmtRes!AO17</f>
        <v>1</v>
      </c>
      <c r="K14">
        <f>SmtRes!AE17</f>
        <v>238.4</v>
      </c>
      <c r="L14">
        <f>SmtRes!DB17</f>
        <v>4.7699999999999996</v>
      </c>
      <c r="M14">
        <f>ROUND(ROUND(L14*Source!I36, 6)*1, 2)</f>
        <v>114.48</v>
      </c>
      <c r="N14">
        <f>SmtRes!AA17</f>
        <v>238.4</v>
      </c>
      <c r="O14">
        <f>ROUND(ROUND(L14*Source!I36, 6)*SmtRes!DA17, 2)</f>
        <v>114.48</v>
      </c>
      <c r="P14">
        <f>SmtRes!AG17</f>
        <v>0</v>
      </c>
      <c r="Q14">
        <f>SmtRes!DC17</f>
        <v>0</v>
      </c>
      <c r="R14">
        <f>ROUND(ROUND(Q14*Source!I36, 6)*1, 2)</f>
        <v>0</v>
      </c>
      <c r="S14">
        <f>SmtRes!AC17</f>
        <v>0</v>
      </c>
      <c r="T14">
        <f>ROUND(ROUND(Q14*Source!I36, 6)*SmtRes!AK17, 2)</f>
        <v>0</v>
      </c>
      <c r="U14">
        <v>3</v>
      </c>
      <c r="Z14">
        <f>SmtRes!X17</f>
        <v>-562871419</v>
      </c>
      <c r="AA14">
        <v>1838375703</v>
      </c>
      <c r="AB14">
        <v>1838375703</v>
      </c>
    </row>
    <row r="15" spans="1:28" x14ac:dyDescent="0.2">
      <c r="A15">
        <v>20</v>
      </c>
      <c r="B15">
        <v>16</v>
      </c>
      <c r="C15">
        <v>3</v>
      </c>
      <c r="D15">
        <v>0</v>
      </c>
      <c r="E15">
        <f>SmtRes!AV16</f>
        <v>0</v>
      </c>
      <c r="F15" t="str">
        <f>SmtRes!I16</f>
        <v>21.21-5-342</v>
      </c>
      <c r="G15" t="str">
        <f>SmtRes!K16</f>
        <v>Хомуты (стяжки) кабельные из полиамида, размеры 3,6х200 мм</v>
      </c>
      <c r="H15" t="str">
        <f>SmtRes!O16</f>
        <v>100 шт.</v>
      </c>
      <c r="I15">
        <f>SmtRes!Y16*Source!I36</f>
        <v>7.1999999999999993</v>
      </c>
      <c r="J15">
        <f>SmtRes!AO16</f>
        <v>1</v>
      </c>
      <c r="K15">
        <f>SmtRes!AE16</f>
        <v>123.58</v>
      </c>
      <c r="L15">
        <f>SmtRes!DB16</f>
        <v>37.07</v>
      </c>
      <c r="M15">
        <f>ROUND(ROUND(L15*Source!I36, 6)*1, 2)</f>
        <v>889.68</v>
      </c>
      <c r="N15">
        <f>SmtRes!AA16</f>
        <v>123.58</v>
      </c>
      <c r="O15">
        <f>ROUND(ROUND(L15*Source!I36, 6)*SmtRes!DA16, 2)</f>
        <v>889.68</v>
      </c>
      <c r="P15">
        <f>SmtRes!AG16</f>
        <v>0</v>
      </c>
      <c r="Q15">
        <f>SmtRes!DC16</f>
        <v>0</v>
      </c>
      <c r="R15">
        <f>ROUND(ROUND(Q15*Source!I36, 6)*1, 2)</f>
        <v>0</v>
      </c>
      <c r="S15">
        <f>SmtRes!AC16</f>
        <v>0</v>
      </c>
      <c r="T15">
        <f>ROUND(ROUND(Q15*Source!I36, 6)*SmtRes!AK16, 2)</f>
        <v>0</v>
      </c>
      <c r="U15">
        <v>3</v>
      </c>
      <c r="Z15">
        <f>SmtRes!X16</f>
        <v>-820215927</v>
      </c>
      <c r="AA15">
        <v>1258130325</v>
      </c>
      <c r="AB15">
        <v>1258130325</v>
      </c>
    </row>
    <row r="16" spans="1:28" x14ac:dyDescent="0.2">
      <c r="A16">
        <v>20</v>
      </c>
      <c r="B16">
        <v>15</v>
      </c>
      <c r="C16">
        <v>3</v>
      </c>
      <c r="D16">
        <v>0</v>
      </c>
      <c r="E16">
        <f>SmtRes!AV15</f>
        <v>0</v>
      </c>
      <c r="F16" t="str">
        <f>SmtRes!I15</f>
        <v>21.21-5-305</v>
      </c>
      <c r="G16" t="str">
        <f>SmtRes!K15</f>
        <v>Сжимы, тип У731М для проводников магистральных сечением от 4 до 10 мм2 и ответвительных от 1,5 до 10 мм2</v>
      </c>
      <c r="H16" t="str">
        <f>SmtRes!O15</f>
        <v>шт.</v>
      </c>
      <c r="I16">
        <f>SmtRes!Y15*Source!I36</f>
        <v>240</v>
      </c>
      <c r="J16">
        <f>SmtRes!AO15</f>
        <v>1</v>
      </c>
      <c r="K16">
        <f>SmtRes!AE15</f>
        <v>29.18</v>
      </c>
      <c r="L16">
        <f>SmtRes!DB15</f>
        <v>291.8</v>
      </c>
      <c r="M16">
        <f>ROUND(ROUND(L16*Source!I36, 6)*1, 2)</f>
        <v>7003.2</v>
      </c>
      <c r="N16">
        <f>SmtRes!AA15</f>
        <v>29.18</v>
      </c>
      <c r="O16">
        <f>ROUND(ROUND(L16*Source!I36, 6)*SmtRes!DA15, 2)</f>
        <v>7003.2</v>
      </c>
      <c r="P16">
        <f>SmtRes!AG15</f>
        <v>0</v>
      </c>
      <c r="Q16">
        <f>SmtRes!DC15</f>
        <v>0</v>
      </c>
      <c r="R16">
        <f>ROUND(ROUND(Q16*Source!I36, 6)*1, 2)</f>
        <v>0</v>
      </c>
      <c r="S16">
        <f>SmtRes!AC15</f>
        <v>0</v>
      </c>
      <c r="T16">
        <f>ROUND(ROUND(Q16*Source!I36, 6)*SmtRes!AK15, 2)</f>
        <v>0</v>
      </c>
      <c r="U16">
        <v>3</v>
      </c>
      <c r="Z16">
        <f>SmtRes!X15</f>
        <v>-1606980538</v>
      </c>
      <c r="AA16">
        <v>-620681751</v>
      </c>
      <c r="AB16">
        <v>-620681751</v>
      </c>
    </row>
    <row r="17" spans="1:28" x14ac:dyDescent="0.2">
      <c r="A17">
        <v>20</v>
      </c>
      <c r="B17">
        <v>14</v>
      </c>
      <c r="C17">
        <v>3</v>
      </c>
      <c r="D17">
        <v>0</v>
      </c>
      <c r="E17">
        <f>SmtRes!AV14</f>
        <v>0</v>
      </c>
      <c r="F17" t="str">
        <f>SmtRes!I14</f>
        <v>21.21-5-2</v>
      </c>
      <c r="G17" t="str">
        <f>SmtRes!K14</f>
        <v>Бирки маркировочные для кабелей и проводов, тип У153 У3,5</v>
      </c>
      <c r="H17" t="str">
        <f>SmtRes!O14</f>
        <v>1000 шт.</v>
      </c>
      <c r="I17">
        <f>SmtRes!Y14*Source!I36</f>
        <v>0.12</v>
      </c>
      <c r="J17">
        <f>SmtRes!AO14</f>
        <v>1</v>
      </c>
      <c r="K17">
        <f>SmtRes!AE14</f>
        <v>736.04</v>
      </c>
      <c r="L17">
        <f>SmtRes!DB14</f>
        <v>3.68</v>
      </c>
      <c r="M17">
        <f>ROUND(ROUND(L17*Source!I36, 6)*1, 2)</f>
        <v>88.32</v>
      </c>
      <c r="N17">
        <f>SmtRes!AA14</f>
        <v>736.04</v>
      </c>
      <c r="O17">
        <f>ROUND(ROUND(L17*Source!I36, 6)*SmtRes!DA14, 2)</f>
        <v>88.32</v>
      </c>
      <c r="P17">
        <f>SmtRes!AG14</f>
        <v>0</v>
      </c>
      <c r="Q17">
        <f>SmtRes!DC14</f>
        <v>0</v>
      </c>
      <c r="R17">
        <f>ROUND(ROUND(Q17*Source!I36, 6)*1, 2)</f>
        <v>0</v>
      </c>
      <c r="S17">
        <f>SmtRes!AC14</f>
        <v>0</v>
      </c>
      <c r="T17">
        <f>ROUND(ROUND(Q17*Source!I36, 6)*SmtRes!AK14, 2)</f>
        <v>0</v>
      </c>
      <c r="U17">
        <v>3</v>
      </c>
      <c r="Z17">
        <f>SmtRes!X14</f>
        <v>372904863</v>
      </c>
      <c r="AA17">
        <v>723157588</v>
      </c>
      <c r="AB17">
        <v>723157588</v>
      </c>
    </row>
    <row r="18" spans="1:28" x14ac:dyDescent="0.2">
      <c r="A18">
        <v>20</v>
      </c>
      <c r="B18">
        <v>13</v>
      </c>
      <c r="C18">
        <v>3</v>
      </c>
      <c r="D18">
        <v>0</v>
      </c>
      <c r="E18">
        <f>SmtRes!AV13</f>
        <v>0</v>
      </c>
      <c r="F18" t="str">
        <f>SmtRes!I13</f>
        <v>21.21-5-114</v>
      </c>
      <c r="G18" t="str">
        <f>SmtRes!K13</f>
        <v>Лента монтажная, тип ЛМ-5</v>
      </c>
      <c r="H18" t="str">
        <f>SmtRes!O13</f>
        <v>м</v>
      </c>
      <c r="I18">
        <f>SmtRes!Y13*Source!I36</f>
        <v>132</v>
      </c>
      <c r="J18">
        <f>SmtRes!AO13</f>
        <v>1</v>
      </c>
      <c r="K18">
        <f>SmtRes!AE13</f>
        <v>5.67</v>
      </c>
      <c r="L18">
        <f>SmtRes!DB13</f>
        <v>31.19</v>
      </c>
      <c r="M18">
        <f>ROUND(ROUND(L18*Source!I36, 6)*1, 2)</f>
        <v>748.56</v>
      </c>
      <c r="N18">
        <f>SmtRes!AA13</f>
        <v>5.67</v>
      </c>
      <c r="O18">
        <f>ROUND(ROUND(L18*Source!I36, 6)*SmtRes!DA13, 2)</f>
        <v>748.56</v>
      </c>
      <c r="P18">
        <f>SmtRes!AG13</f>
        <v>0</v>
      </c>
      <c r="Q18">
        <f>SmtRes!DC13</f>
        <v>0</v>
      </c>
      <c r="R18">
        <f>ROUND(ROUND(Q18*Source!I36, 6)*1, 2)</f>
        <v>0</v>
      </c>
      <c r="S18">
        <f>SmtRes!AC13</f>
        <v>0</v>
      </c>
      <c r="T18">
        <f>ROUND(ROUND(Q18*Source!I36, 6)*SmtRes!AK13, 2)</f>
        <v>0</v>
      </c>
      <c r="U18">
        <v>3</v>
      </c>
      <c r="Z18">
        <f>SmtRes!X13</f>
        <v>-1241089019</v>
      </c>
      <c r="AA18">
        <v>453818100</v>
      </c>
      <c r="AB18">
        <v>453818100</v>
      </c>
    </row>
    <row r="19" spans="1:28" x14ac:dyDescent="0.2">
      <c r="A19">
        <v>20</v>
      </c>
      <c r="B19">
        <v>12</v>
      </c>
      <c r="C19">
        <v>3</v>
      </c>
      <c r="D19">
        <v>0</v>
      </c>
      <c r="E19">
        <f>SmtRes!AV12</f>
        <v>0</v>
      </c>
      <c r="F19" t="str">
        <f>SmtRes!I12</f>
        <v>21.1-20-10</v>
      </c>
      <c r="G19" t="str">
        <f>SmtRes!K12</f>
        <v>Лента изоляционная хлопчатобумажная</v>
      </c>
      <c r="H19" t="str">
        <f>SmtRes!O12</f>
        <v>кг</v>
      </c>
      <c r="I19">
        <f>SmtRes!Y12*Source!I36</f>
        <v>3.84</v>
      </c>
      <c r="J19">
        <f>SmtRes!AO12</f>
        <v>1</v>
      </c>
      <c r="K19">
        <f>SmtRes!AE12</f>
        <v>375.16</v>
      </c>
      <c r="L19">
        <f>SmtRes!DB12</f>
        <v>60.03</v>
      </c>
      <c r="M19">
        <f>ROUND(ROUND(L19*Source!I36, 6)*1, 2)</f>
        <v>1440.72</v>
      </c>
      <c r="N19">
        <f>SmtRes!AA12</f>
        <v>375.16</v>
      </c>
      <c r="O19">
        <f>ROUND(ROUND(L19*Source!I36, 6)*SmtRes!DA12, 2)</f>
        <v>1440.72</v>
      </c>
      <c r="P19">
        <f>SmtRes!AG12</f>
        <v>0</v>
      </c>
      <c r="Q19">
        <f>SmtRes!DC12</f>
        <v>0</v>
      </c>
      <c r="R19">
        <f>ROUND(ROUND(Q19*Source!I36, 6)*1, 2)</f>
        <v>0</v>
      </c>
      <c r="S19">
        <f>SmtRes!AC12</f>
        <v>0</v>
      </c>
      <c r="T19">
        <f>ROUND(ROUND(Q19*Source!I36, 6)*SmtRes!AK12, 2)</f>
        <v>0</v>
      </c>
      <c r="U19">
        <v>3</v>
      </c>
      <c r="Z19">
        <f>SmtRes!X12</f>
        <v>-1733743716</v>
      </c>
      <c r="AA19">
        <v>822751504</v>
      </c>
      <c r="AB19">
        <v>822751504</v>
      </c>
    </row>
    <row r="20" spans="1:28" x14ac:dyDescent="0.2">
      <c r="A20">
        <f>Source!A38</f>
        <v>18</v>
      </c>
      <c r="B20">
        <v>38</v>
      </c>
      <c r="C20">
        <v>3</v>
      </c>
      <c r="D20">
        <f>Source!BI38</f>
        <v>4</v>
      </c>
      <c r="E20">
        <f>Source!FS38</f>
        <v>0</v>
      </c>
      <c r="F20" t="str">
        <f>Source!F38</f>
        <v>Цена поставщика</v>
      </c>
      <c r="G20" t="str">
        <f>Source!G38</f>
        <v>Кабель соединительный 2х0.75</v>
      </c>
      <c r="H20" t="str">
        <f>Source!H38</f>
        <v>м.п.</v>
      </c>
      <c r="I20">
        <f>Source!I38</f>
        <v>2400</v>
      </c>
      <c r="J20">
        <v>1</v>
      </c>
      <c r="K20">
        <f>Source!AC38</f>
        <v>58.7</v>
      </c>
      <c r="M20">
        <f>ROUND(K20*I20, 2)</f>
        <v>140880</v>
      </c>
      <c r="N20">
        <f>Source!AC38*IF(Source!BC38&lt;&gt; 0, Source!BC38, 1)</f>
        <v>58.7</v>
      </c>
      <c r="O20">
        <f>ROUND(N20*I20, 2)</f>
        <v>140880</v>
      </c>
      <c r="P20">
        <f>Source!AE38</f>
        <v>0</v>
      </c>
      <c r="R20">
        <f>ROUND(P20*I20, 2)</f>
        <v>0</v>
      </c>
      <c r="S20">
        <f>Source!AE38*IF(Source!BS38&lt;&gt; 0, Source!BS38, 1)</f>
        <v>0</v>
      </c>
      <c r="T20">
        <f>ROUND(S20*I20, 2)</f>
        <v>0</v>
      </c>
      <c r="U20">
        <v>3</v>
      </c>
      <c r="Z20">
        <f>Source!GF38</f>
        <v>581377310</v>
      </c>
      <c r="AA20">
        <v>-550386778</v>
      </c>
      <c r="AB20">
        <v>-550386778</v>
      </c>
    </row>
    <row r="21" spans="1:28" x14ac:dyDescent="0.2">
      <c r="A21">
        <v>20</v>
      </c>
      <c r="B21">
        <v>29</v>
      </c>
      <c r="C21">
        <v>3</v>
      </c>
      <c r="D21">
        <v>0</v>
      </c>
      <c r="E21">
        <f>SmtRes!AV29</f>
        <v>0</v>
      </c>
      <c r="F21" t="str">
        <f>SmtRes!I29</f>
        <v>21.7-3-2</v>
      </c>
      <c r="G21" t="str">
        <f>SmtRes!K29</f>
        <v>Буры с победитовым наконечником, с хвостовиком SDS-plus, размеры 10х160 мм</v>
      </c>
      <c r="H21" t="str">
        <f>SmtRes!O29</f>
        <v>шт.</v>
      </c>
      <c r="I21">
        <f>SmtRes!Y29*Source!I39</f>
        <v>48</v>
      </c>
      <c r="J21">
        <f>SmtRes!AO29</f>
        <v>1</v>
      </c>
      <c r="K21">
        <f>SmtRes!AE29</f>
        <v>352.88</v>
      </c>
      <c r="L21">
        <f>SmtRes!DB29</f>
        <v>529.32000000000005</v>
      </c>
      <c r="M21">
        <f>ROUND(ROUND(L21*Source!I39, 6)*1, 2)</f>
        <v>16938.240000000002</v>
      </c>
      <c r="N21">
        <f>SmtRes!AA29</f>
        <v>352.88</v>
      </c>
      <c r="O21">
        <f>ROUND(ROUND(L21*Source!I39, 6)*SmtRes!DA29, 2)</f>
        <v>16938.240000000002</v>
      </c>
      <c r="P21">
        <f>SmtRes!AG29</f>
        <v>0</v>
      </c>
      <c r="Q21">
        <f>SmtRes!DC29</f>
        <v>0</v>
      </c>
      <c r="R21">
        <f>ROUND(ROUND(Q21*Source!I39, 6)*1, 2)</f>
        <v>0</v>
      </c>
      <c r="S21">
        <f>SmtRes!AC29</f>
        <v>0</v>
      </c>
      <c r="T21">
        <f>ROUND(ROUND(Q21*Source!I39, 6)*SmtRes!AK29, 2)</f>
        <v>0</v>
      </c>
      <c r="U21">
        <v>3</v>
      </c>
      <c r="Z21">
        <f>SmtRes!X29</f>
        <v>-1751065174</v>
      </c>
      <c r="AA21">
        <v>-1271930322</v>
      </c>
      <c r="AB21">
        <v>-1271930322</v>
      </c>
    </row>
    <row r="22" spans="1:28" x14ac:dyDescent="0.2">
      <c r="A22">
        <v>20</v>
      </c>
      <c r="B22">
        <v>26</v>
      </c>
      <c r="C22">
        <v>3</v>
      </c>
      <c r="D22">
        <v>0</v>
      </c>
      <c r="E22">
        <f>SmtRes!AV26</f>
        <v>0</v>
      </c>
      <c r="F22" t="str">
        <f>SmtRes!I26</f>
        <v>21.21-5-358</v>
      </c>
      <c r="G22" t="str">
        <f>SmtRes!K26</f>
        <v>Держатели пластиковые с защелкой для крепления труб, рукавов и гибких вводов диаметром 20 мм</v>
      </c>
      <c r="H22" t="str">
        <f>SmtRes!O26</f>
        <v>100 шт.</v>
      </c>
      <c r="I22">
        <f>SmtRes!Y26*Source!I39</f>
        <v>32</v>
      </c>
      <c r="J22">
        <f>SmtRes!AO26</f>
        <v>1</v>
      </c>
      <c r="K22">
        <f>SmtRes!AE26</f>
        <v>311.19</v>
      </c>
      <c r="L22">
        <f>SmtRes!DB26</f>
        <v>311.19</v>
      </c>
      <c r="M22">
        <f>ROUND(ROUND(L22*Source!I39, 6)*1, 2)</f>
        <v>9958.08</v>
      </c>
      <c r="N22">
        <f>SmtRes!AA26</f>
        <v>311.19</v>
      </c>
      <c r="O22">
        <f>ROUND(ROUND(L22*Source!I39, 6)*SmtRes!DA26, 2)</f>
        <v>9958.08</v>
      </c>
      <c r="P22">
        <f>SmtRes!AG26</f>
        <v>0</v>
      </c>
      <c r="Q22">
        <f>SmtRes!DC26</f>
        <v>0</v>
      </c>
      <c r="R22">
        <f>ROUND(ROUND(Q22*Source!I39, 6)*1, 2)</f>
        <v>0</v>
      </c>
      <c r="S22">
        <f>SmtRes!AC26</f>
        <v>0</v>
      </c>
      <c r="T22">
        <f>ROUND(ROUND(Q22*Source!I39, 6)*SmtRes!AK26, 2)</f>
        <v>0</v>
      </c>
      <c r="U22">
        <v>3</v>
      </c>
      <c r="Z22">
        <f>SmtRes!X26</f>
        <v>461636772</v>
      </c>
      <c r="AA22">
        <v>-64108374</v>
      </c>
      <c r="AB22">
        <v>-64108374</v>
      </c>
    </row>
    <row r="23" spans="1:28" x14ac:dyDescent="0.2">
      <c r="A23">
        <v>20</v>
      </c>
      <c r="B23">
        <v>25</v>
      </c>
      <c r="C23">
        <v>3</v>
      </c>
      <c r="D23">
        <v>0</v>
      </c>
      <c r="E23">
        <f>SmtRes!AV25</f>
        <v>0</v>
      </c>
      <c r="F23" t="str">
        <f>SmtRes!I25</f>
        <v>21.12-5-136</v>
      </c>
      <c r="G23" t="str">
        <f>SmtRes!K25</f>
        <v>Трубы электротехнические гофрированные, поливинилхлоридные, негорючие, с зондом, наружный диаметр 20 мм</v>
      </c>
      <c r="H23" t="str">
        <f>SmtRes!O25</f>
        <v>м</v>
      </c>
      <c r="I23">
        <f>SmtRes!Y25*Source!I39</f>
        <v>3264</v>
      </c>
      <c r="J23">
        <f>SmtRes!AO25</f>
        <v>1</v>
      </c>
      <c r="K23">
        <f>SmtRes!AE25</f>
        <v>20.21</v>
      </c>
      <c r="L23">
        <f>SmtRes!DB25</f>
        <v>2061.42</v>
      </c>
      <c r="M23">
        <f>ROUND(ROUND(L23*Source!I39, 6)*1, 2)</f>
        <v>65965.440000000002</v>
      </c>
      <c r="N23">
        <f>SmtRes!AA25</f>
        <v>20.21</v>
      </c>
      <c r="O23">
        <f>ROUND(ROUND(L23*Source!I39, 6)*SmtRes!DA25, 2)</f>
        <v>65965.440000000002</v>
      </c>
      <c r="P23">
        <f>SmtRes!AG25</f>
        <v>0</v>
      </c>
      <c r="Q23">
        <f>SmtRes!DC25</f>
        <v>0</v>
      </c>
      <c r="R23">
        <f>ROUND(ROUND(Q23*Source!I39, 6)*1, 2)</f>
        <v>0</v>
      </c>
      <c r="S23">
        <f>SmtRes!AC25</f>
        <v>0</v>
      </c>
      <c r="T23">
        <f>ROUND(ROUND(Q23*Source!I39, 6)*SmtRes!AK25, 2)</f>
        <v>0</v>
      </c>
      <c r="U23">
        <v>3</v>
      </c>
      <c r="Z23">
        <f>SmtRes!X25</f>
        <v>1309474923</v>
      </c>
      <c r="AA23">
        <v>-743670918</v>
      </c>
      <c r="AB23">
        <v>-743670918</v>
      </c>
    </row>
    <row r="24" spans="1:28" x14ac:dyDescent="0.2">
      <c r="A24">
        <v>20</v>
      </c>
      <c r="B24">
        <v>24</v>
      </c>
      <c r="C24">
        <v>3</v>
      </c>
      <c r="D24">
        <v>0</v>
      </c>
      <c r="E24">
        <f>SmtRes!AV24</f>
        <v>0</v>
      </c>
      <c r="F24" t="str">
        <f>SmtRes!I24</f>
        <v>21.1-11-198</v>
      </c>
      <c r="G24" t="str">
        <f>SmtRes!K24</f>
        <v>Дюбели пластмассовые</v>
      </c>
      <c r="H24" t="str">
        <f>SmtRes!O24</f>
        <v>шт.</v>
      </c>
      <c r="I24">
        <f>SmtRes!Y24*Source!I39</f>
        <v>3840</v>
      </c>
      <c r="J24">
        <f>SmtRes!AO24</f>
        <v>1</v>
      </c>
      <c r="K24">
        <f>SmtRes!AE24</f>
        <v>1.4</v>
      </c>
      <c r="L24">
        <f>SmtRes!DB24</f>
        <v>168</v>
      </c>
      <c r="M24">
        <f>ROUND(ROUND(L24*Source!I39, 6)*1, 2)</f>
        <v>5376</v>
      </c>
      <c r="N24">
        <f>SmtRes!AA24</f>
        <v>1.4</v>
      </c>
      <c r="O24">
        <f>ROUND(ROUND(L24*Source!I39, 6)*SmtRes!DA24, 2)</f>
        <v>5376</v>
      </c>
      <c r="P24">
        <f>SmtRes!AG24</f>
        <v>0</v>
      </c>
      <c r="Q24">
        <f>SmtRes!DC24</f>
        <v>0</v>
      </c>
      <c r="R24">
        <f>ROUND(ROUND(Q24*Source!I39, 6)*1, 2)</f>
        <v>0</v>
      </c>
      <c r="S24">
        <f>SmtRes!AC24</f>
        <v>0</v>
      </c>
      <c r="T24">
        <f>ROUND(ROUND(Q24*Source!I39, 6)*SmtRes!AK24, 2)</f>
        <v>0</v>
      </c>
      <c r="U24">
        <v>3</v>
      </c>
      <c r="Z24">
        <f>SmtRes!X24</f>
        <v>48747201</v>
      </c>
      <c r="AA24">
        <v>1600757340</v>
      </c>
      <c r="AB24">
        <v>1600757340</v>
      </c>
    </row>
    <row r="25" spans="1:28" x14ac:dyDescent="0.2">
      <c r="A25">
        <v>20</v>
      </c>
      <c r="B25">
        <v>23</v>
      </c>
      <c r="C25">
        <v>3</v>
      </c>
      <c r="D25">
        <v>0</v>
      </c>
      <c r="E25">
        <f>SmtRes!AV23</f>
        <v>0</v>
      </c>
      <c r="F25" t="str">
        <f>SmtRes!I23</f>
        <v>21.1-11-108</v>
      </c>
      <c r="G25" t="str">
        <f>SmtRes!K23</f>
        <v>Шурупы - саморезы, размер 3,5х45 мм</v>
      </c>
      <c r="H25" t="str">
        <f>SmtRes!O23</f>
        <v>т</v>
      </c>
      <c r="I25">
        <f>SmtRes!Y23*Source!I39</f>
        <v>7.1040000000000006E-2</v>
      </c>
      <c r="J25">
        <f>SmtRes!AO23</f>
        <v>1</v>
      </c>
      <c r="K25">
        <f>SmtRes!AE23</f>
        <v>206408.91</v>
      </c>
      <c r="L25">
        <f>SmtRes!DB23</f>
        <v>458.23</v>
      </c>
      <c r="M25">
        <f>ROUND(ROUND(L25*Source!I39, 6)*1, 2)</f>
        <v>14663.36</v>
      </c>
      <c r="N25">
        <f>SmtRes!AA23</f>
        <v>206408.91</v>
      </c>
      <c r="O25">
        <f>ROUND(ROUND(L25*Source!I39, 6)*SmtRes!DA23, 2)</f>
        <v>14663.36</v>
      </c>
      <c r="P25">
        <f>SmtRes!AG23</f>
        <v>0</v>
      </c>
      <c r="Q25">
        <f>SmtRes!DC23</f>
        <v>0</v>
      </c>
      <c r="R25">
        <f>ROUND(ROUND(Q25*Source!I39, 6)*1, 2)</f>
        <v>0</v>
      </c>
      <c r="S25">
        <f>SmtRes!AC23</f>
        <v>0</v>
      </c>
      <c r="T25">
        <f>ROUND(ROUND(Q25*Source!I39, 6)*SmtRes!AK23, 2)</f>
        <v>0</v>
      </c>
      <c r="U25">
        <v>3</v>
      </c>
      <c r="Z25">
        <f>SmtRes!X23</f>
        <v>180314326</v>
      </c>
      <c r="AA25">
        <v>-976895571</v>
      </c>
      <c r="AB25">
        <v>-976895571</v>
      </c>
    </row>
    <row r="26" spans="1:28" x14ac:dyDescent="0.2">
      <c r="A26">
        <f>Source!A40</f>
        <v>18</v>
      </c>
      <c r="B26">
        <v>40</v>
      </c>
      <c r="C26">
        <v>3</v>
      </c>
      <c r="D26">
        <f>Source!BI40</f>
        <v>4</v>
      </c>
      <c r="E26">
        <f>Source!FS40</f>
        <v>0</v>
      </c>
      <c r="F26" t="str">
        <f>Source!F40</f>
        <v>21.21-5-86</v>
      </c>
      <c r="G26" t="str">
        <f>Source!G40</f>
        <v>Коробки клеммные для присоединения проводов к бытовым электроплитам, напряжение 380 В, сила тока 40 А, степень защиты IP44, с монтажными пластинами и распорными лапками, тип КлК-5С</v>
      </c>
      <c r="H26" t="str">
        <f>Source!H40</f>
        <v>шт.</v>
      </c>
      <c r="I26">
        <f>Source!I40</f>
        <v>900</v>
      </c>
      <c r="J26">
        <v>1</v>
      </c>
      <c r="K26">
        <f>Source!AC40</f>
        <v>471.57</v>
      </c>
      <c r="M26">
        <f t="shared" ref="M26:M58" si="4">ROUND(K26*I26, 2)</f>
        <v>424413</v>
      </c>
      <c r="N26">
        <f>Source!AC40*IF(Source!BC40&lt;&gt; 0, Source!BC40, 1)</f>
        <v>471.57</v>
      </c>
      <c r="O26">
        <f t="shared" ref="O26:O58" si="5">ROUND(N26*I26, 2)</f>
        <v>424413</v>
      </c>
      <c r="P26">
        <f>Source!AE40</f>
        <v>0</v>
      </c>
      <c r="R26">
        <f t="shared" ref="R26:R58" si="6">ROUND(P26*I26, 2)</f>
        <v>0</v>
      </c>
      <c r="S26">
        <f>Source!AE40*IF(Source!BS40&lt;&gt; 0, Source!BS40, 1)</f>
        <v>0</v>
      </c>
      <c r="T26">
        <f t="shared" ref="T26:T58" si="7">ROUND(S26*I26, 2)</f>
        <v>0</v>
      </c>
      <c r="U26">
        <v>3</v>
      </c>
      <c r="Z26">
        <f>Source!GF40</f>
        <v>691857670</v>
      </c>
      <c r="AA26">
        <v>-753922441</v>
      </c>
      <c r="AB26">
        <v>-753922441</v>
      </c>
    </row>
    <row r="27" spans="1:28" x14ac:dyDescent="0.2">
      <c r="A27">
        <f>Source!A43</f>
        <v>18</v>
      </c>
      <c r="B27">
        <v>43</v>
      </c>
      <c r="C27">
        <v>3</v>
      </c>
      <c r="D27">
        <f>Source!BI43</f>
        <v>4</v>
      </c>
      <c r="E27">
        <f>Source!FS43</f>
        <v>0</v>
      </c>
      <c r="F27" t="str">
        <f>Source!F43</f>
        <v>Цена поставщика</v>
      </c>
      <c r="G27" t="str">
        <f>Source!G43</f>
        <v>Провод силовой гибкий 3G2,5 круглый</v>
      </c>
      <c r="H27" t="str">
        <f>Source!H43</f>
        <v>м.п.</v>
      </c>
      <c r="I27">
        <f>Source!I43</f>
        <v>800</v>
      </c>
      <c r="J27">
        <v>1</v>
      </c>
      <c r="K27">
        <f>Source!AC43</f>
        <v>381.08</v>
      </c>
      <c r="M27">
        <f t="shared" si="4"/>
        <v>304864</v>
      </c>
      <c r="N27">
        <f>Source!AC43*IF(Source!BC43&lt;&gt; 0, Source!BC43, 1)</f>
        <v>381.08</v>
      </c>
      <c r="O27">
        <f t="shared" si="5"/>
        <v>304864</v>
      </c>
      <c r="P27">
        <f>Source!AE43</f>
        <v>0</v>
      </c>
      <c r="R27">
        <f t="shared" si="6"/>
        <v>0</v>
      </c>
      <c r="S27">
        <f>Source!AE43*IF(Source!BS43&lt;&gt; 0, Source!BS43, 1)</f>
        <v>0</v>
      </c>
      <c r="T27">
        <f t="shared" si="7"/>
        <v>0</v>
      </c>
      <c r="U27">
        <v>3</v>
      </c>
      <c r="Z27">
        <f>Source!GF43</f>
        <v>129704407</v>
      </c>
      <c r="AA27">
        <v>-324063487</v>
      </c>
      <c r="AB27">
        <v>-324063487</v>
      </c>
    </row>
    <row r="28" spans="1:28" x14ac:dyDescent="0.2">
      <c r="A28">
        <f>Source!A44</f>
        <v>18</v>
      </c>
      <c r="B28">
        <v>44</v>
      </c>
      <c r="C28">
        <v>3</v>
      </c>
      <c r="D28">
        <f>Source!BI44</f>
        <v>4</v>
      </c>
      <c r="E28">
        <f>Source!FS44</f>
        <v>0</v>
      </c>
      <c r="F28" t="str">
        <f>Source!F44</f>
        <v>Цена поставщика</v>
      </c>
      <c r="G28" t="str">
        <f>Source!G44</f>
        <v>Вилка кабельная Schuko 16А 220V 2P+E IP 54</v>
      </c>
      <c r="H28" t="str">
        <f>Source!H44</f>
        <v>шт.</v>
      </c>
      <c r="I28">
        <f>Source!I44</f>
        <v>30</v>
      </c>
      <c r="J28">
        <v>1</v>
      </c>
      <c r="K28">
        <f>Source!AC44</f>
        <v>772.52</v>
      </c>
      <c r="M28">
        <f t="shared" si="4"/>
        <v>23175.599999999999</v>
      </c>
      <c r="N28">
        <f>Source!AC44*IF(Source!BC44&lt;&gt; 0, Source!BC44, 1)</f>
        <v>772.52</v>
      </c>
      <c r="O28">
        <f t="shared" si="5"/>
        <v>23175.599999999999</v>
      </c>
      <c r="P28">
        <f>Source!AE44</f>
        <v>0</v>
      </c>
      <c r="R28">
        <f t="shared" si="6"/>
        <v>0</v>
      </c>
      <c r="S28">
        <f>Source!AE44*IF(Source!BS44&lt;&gt; 0, Source!BS44, 1)</f>
        <v>0</v>
      </c>
      <c r="T28">
        <f t="shared" si="7"/>
        <v>0</v>
      </c>
      <c r="U28">
        <v>3</v>
      </c>
      <c r="Z28">
        <f>Source!GF44</f>
        <v>1578297991</v>
      </c>
      <c r="AA28">
        <v>-940886736</v>
      </c>
      <c r="AB28">
        <v>-940886736</v>
      </c>
    </row>
    <row r="29" spans="1:28" x14ac:dyDescent="0.2">
      <c r="A29">
        <f>Source!A46</f>
        <v>18</v>
      </c>
      <c r="B29">
        <v>46</v>
      </c>
      <c r="C29">
        <v>3</v>
      </c>
      <c r="D29">
        <f>Source!BI46</f>
        <v>4</v>
      </c>
      <c r="E29">
        <f>Source!FS46</f>
        <v>0</v>
      </c>
      <c r="F29" t="str">
        <f>Source!F46</f>
        <v>Цена поставщика</v>
      </c>
      <c r="G29" t="str">
        <f>Source!G46</f>
        <v>Распределительная коробка водонепроницаемая на 3 выхода, 450V, 140x78x36</v>
      </c>
      <c r="H29" t="str">
        <f>Source!H46</f>
        <v>шт.</v>
      </c>
      <c r="I29">
        <f>Source!I46</f>
        <v>16</v>
      </c>
      <c r="J29">
        <v>1</v>
      </c>
      <c r="K29">
        <f>Source!AC46</f>
        <v>535.59</v>
      </c>
      <c r="M29">
        <f t="shared" si="4"/>
        <v>8569.44</v>
      </c>
      <c r="N29">
        <f>Source!AC46*IF(Source!BC46&lt;&gt; 0, Source!BC46, 1)</f>
        <v>535.59</v>
      </c>
      <c r="O29">
        <f t="shared" si="5"/>
        <v>8569.44</v>
      </c>
      <c r="P29">
        <f>Source!AE46</f>
        <v>0</v>
      </c>
      <c r="R29">
        <f t="shared" si="6"/>
        <v>0</v>
      </c>
      <c r="S29">
        <f>Source!AE46*IF(Source!BS46&lt;&gt; 0, Source!BS46, 1)</f>
        <v>0</v>
      </c>
      <c r="T29">
        <f t="shared" si="7"/>
        <v>0</v>
      </c>
      <c r="U29">
        <v>3</v>
      </c>
      <c r="Z29">
        <f>Source!GF46</f>
        <v>-1432749690</v>
      </c>
      <c r="AA29">
        <v>634160167</v>
      </c>
      <c r="AB29">
        <v>634160167</v>
      </c>
    </row>
    <row r="30" spans="1:28" x14ac:dyDescent="0.2">
      <c r="A30">
        <f>Source!A47</f>
        <v>18</v>
      </c>
      <c r="B30">
        <v>47</v>
      </c>
      <c r="C30">
        <v>3</v>
      </c>
      <c r="D30">
        <f>Source!BI47</f>
        <v>4</v>
      </c>
      <c r="E30">
        <f>Source!FS47</f>
        <v>0</v>
      </c>
      <c r="F30" t="str">
        <f>Source!F47</f>
        <v>Цена поставщика</v>
      </c>
      <c r="G30" t="str">
        <f>Source!G47</f>
        <v>Распределительная коробка водонепроницаемая на 2 выхода, 450V, 125x55x36</v>
      </c>
      <c r="H30" t="str">
        <f>Source!H47</f>
        <v>шт.</v>
      </c>
      <c r="I30">
        <f>Source!I47</f>
        <v>74</v>
      </c>
      <c r="J30">
        <v>1</v>
      </c>
      <c r="K30">
        <f>Source!AC47</f>
        <v>535.59</v>
      </c>
      <c r="M30">
        <f t="shared" si="4"/>
        <v>39633.660000000003</v>
      </c>
      <c r="N30">
        <f>Source!AC47*IF(Source!BC47&lt;&gt; 0, Source!BC47, 1)</f>
        <v>535.59</v>
      </c>
      <c r="O30">
        <f t="shared" si="5"/>
        <v>39633.660000000003</v>
      </c>
      <c r="P30">
        <f>Source!AE47</f>
        <v>0</v>
      </c>
      <c r="R30">
        <f t="shared" si="6"/>
        <v>0</v>
      </c>
      <c r="S30">
        <f>Source!AE47*IF(Source!BS47&lt;&gt; 0, Source!BS47, 1)</f>
        <v>0</v>
      </c>
      <c r="T30">
        <f t="shared" si="7"/>
        <v>0</v>
      </c>
      <c r="U30">
        <v>3</v>
      </c>
      <c r="Z30">
        <f>Source!GF47</f>
        <v>-191325540</v>
      </c>
      <c r="AA30">
        <v>1162516871</v>
      </c>
      <c r="AB30">
        <v>1162516871</v>
      </c>
    </row>
    <row r="31" spans="1:28" x14ac:dyDescent="0.2">
      <c r="A31">
        <f>Source!A48</f>
        <v>18</v>
      </c>
      <c r="B31">
        <v>48</v>
      </c>
      <c r="C31">
        <v>3</v>
      </c>
      <c r="D31">
        <f>Source!BI48</f>
        <v>4</v>
      </c>
      <c r="E31">
        <f>Source!FS48</f>
        <v>0</v>
      </c>
      <c r="F31" t="str">
        <f>Source!F48</f>
        <v>Цена поставщика</v>
      </c>
      <c r="G31" t="str">
        <f>Source!G48</f>
        <v>Разъемы герметичные (штекер-гнездо) IP67, 5 А, 250 В</v>
      </c>
      <c r="H31" t="str">
        <f>Source!H48</f>
        <v>шт.</v>
      </c>
      <c r="I31">
        <f>Source!I48</f>
        <v>100</v>
      </c>
      <c r="J31">
        <v>1</v>
      </c>
      <c r="K31">
        <f>Source!AC48</f>
        <v>175.18</v>
      </c>
      <c r="M31">
        <f t="shared" si="4"/>
        <v>17518</v>
      </c>
      <c r="N31">
        <f>Source!AC48*IF(Source!BC48&lt;&gt; 0, Source!BC48, 1)</f>
        <v>175.18</v>
      </c>
      <c r="O31">
        <f t="shared" si="5"/>
        <v>17518</v>
      </c>
      <c r="P31">
        <f>Source!AE48</f>
        <v>0</v>
      </c>
      <c r="R31">
        <f t="shared" si="6"/>
        <v>0</v>
      </c>
      <c r="S31">
        <f>Source!AE48*IF(Source!BS48&lt;&gt; 0, Source!BS48, 1)</f>
        <v>0</v>
      </c>
      <c r="T31">
        <f t="shared" si="7"/>
        <v>0</v>
      </c>
      <c r="U31">
        <v>3</v>
      </c>
      <c r="Z31">
        <f>Source!GF48</f>
        <v>-2131730029</v>
      </c>
      <c r="AA31">
        <v>-2003052320</v>
      </c>
      <c r="AB31">
        <v>-2003052320</v>
      </c>
    </row>
    <row r="32" spans="1:28" x14ac:dyDescent="0.2">
      <c r="A32">
        <f>Source!A49</f>
        <v>18</v>
      </c>
      <c r="B32">
        <v>49</v>
      </c>
      <c r="C32">
        <v>3</v>
      </c>
      <c r="D32">
        <f>Source!BI49</f>
        <v>4</v>
      </c>
      <c r="E32">
        <f>Source!FS49</f>
        <v>0</v>
      </c>
      <c r="F32" t="str">
        <f>Source!F49</f>
        <v>21.21-5-239</v>
      </c>
      <c r="G32" t="str">
        <f>Source!G49</f>
        <v>Наконечники герметичные изолированные под опрессовку, с алюминиевой клеммой, тип CPTA 16</v>
      </c>
      <c r="H32" t="str">
        <f>Source!H49</f>
        <v>шт.</v>
      </c>
      <c r="I32">
        <f>Source!I49</f>
        <v>1</v>
      </c>
      <c r="J32">
        <v>1</v>
      </c>
      <c r="K32">
        <f>Source!AC49</f>
        <v>695.83</v>
      </c>
      <c r="M32">
        <f t="shared" si="4"/>
        <v>695.83</v>
      </c>
      <c r="N32">
        <f>Source!AC49*IF(Source!BC49&lt;&gt; 0, Source!BC49, 1)</f>
        <v>695.83</v>
      </c>
      <c r="O32">
        <f t="shared" si="5"/>
        <v>695.83</v>
      </c>
      <c r="P32">
        <f>Source!AE49</f>
        <v>0</v>
      </c>
      <c r="R32">
        <f t="shared" si="6"/>
        <v>0</v>
      </c>
      <c r="S32">
        <f>Source!AE49*IF(Source!BS49&lt;&gt; 0, Source!BS49, 1)</f>
        <v>0</v>
      </c>
      <c r="T32">
        <f t="shared" si="7"/>
        <v>0</v>
      </c>
      <c r="U32">
        <v>3</v>
      </c>
      <c r="Z32">
        <f>Source!GF49</f>
        <v>-816974938</v>
      </c>
      <c r="AA32">
        <v>1800053037</v>
      </c>
      <c r="AB32">
        <v>1800053037</v>
      </c>
    </row>
    <row r="33" spans="1:28" x14ac:dyDescent="0.2">
      <c r="A33">
        <f>Source!A50</f>
        <v>18</v>
      </c>
      <c r="B33">
        <v>50</v>
      </c>
      <c r="C33">
        <v>3</v>
      </c>
      <c r="D33">
        <f>Source!BI50</f>
        <v>4</v>
      </c>
      <c r="E33">
        <f>Source!FS50</f>
        <v>0</v>
      </c>
      <c r="F33" t="str">
        <f>Source!F50</f>
        <v>21.21-5-60</v>
      </c>
      <c r="G33" t="str">
        <f>Source!G50</f>
        <v>Коробки ответвительные алюминиевые для шинопроводов ШРА 4 (ШРА 73), тип У 2051 У3, с автоматическими выключателями</v>
      </c>
      <c r="H33" t="str">
        <f>Source!H50</f>
        <v>шт.</v>
      </c>
      <c r="I33">
        <f>Source!I50</f>
        <v>1</v>
      </c>
      <c r="J33">
        <v>1</v>
      </c>
      <c r="K33">
        <f>Source!AC50</f>
        <v>54070.58</v>
      </c>
      <c r="M33">
        <f t="shared" si="4"/>
        <v>54070.58</v>
      </c>
      <c r="N33">
        <f>Source!AC50*IF(Source!BC50&lt;&gt; 0, Source!BC50, 1)</f>
        <v>54070.58</v>
      </c>
      <c r="O33">
        <f t="shared" si="5"/>
        <v>54070.58</v>
      </c>
      <c r="P33">
        <f>Source!AE50</f>
        <v>0</v>
      </c>
      <c r="R33">
        <f t="shared" si="6"/>
        <v>0</v>
      </c>
      <c r="S33">
        <f>Source!AE50*IF(Source!BS50&lt;&gt; 0, Source!BS50, 1)</f>
        <v>0</v>
      </c>
      <c r="T33">
        <f t="shared" si="7"/>
        <v>0</v>
      </c>
      <c r="U33">
        <v>3</v>
      </c>
      <c r="Z33">
        <f>Source!GF50</f>
        <v>-569902613</v>
      </c>
      <c r="AA33">
        <v>1176144669</v>
      </c>
      <c r="AB33">
        <v>1176144669</v>
      </c>
    </row>
    <row r="34" spans="1:28" x14ac:dyDescent="0.2">
      <c r="A34">
        <f>Source!A52</f>
        <v>18</v>
      </c>
      <c r="B34">
        <v>52</v>
      </c>
      <c r="C34">
        <v>3</v>
      </c>
      <c r="D34">
        <f>Source!BI52</f>
        <v>4</v>
      </c>
      <c r="E34">
        <f>Source!FS52</f>
        <v>0</v>
      </c>
      <c r="F34" t="str">
        <f>Source!F52</f>
        <v>Цена поставщика</v>
      </c>
      <c r="G34" t="str">
        <f>Source!G52</f>
        <v>Комплект подключения для гибкого неона  (120-220V) с блоком питания до 50 метров.  Светодиодный Гибкий Неон Rich LED, односторонний и двухсторонний,  белый, синий, красный, зелёный  кратность резки 1 метр, размер 8*16 мм, 220 В, 50 м  120-220V-W/W</v>
      </c>
      <c r="H34" t="str">
        <f>Source!H52</f>
        <v>шт.</v>
      </c>
      <c r="I34">
        <f>Source!I52</f>
        <v>25</v>
      </c>
      <c r="J34">
        <v>1</v>
      </c>
      <c r="K34">
        <f>Source!AC52</f>
        <v>906.39</v>
      </c>
      <c r="M34">
        <f t="shared" si="4"/>
        <v>22659.75</v>
      </c>
      <c r="N34">
        <f>Source!AC52*IF(Source!BC52&lt;&gt; 0, Source!BC52, 1)</f>
        <v>906.39</v>
      </c>
      <c r="O34">
        <f t="shared" si="5"/>
        <v>22659.75</v>
      </c>
      <c r="P34">
        <f>Source!AE52</f>
        <v>0</v>
      </c>
      <c r="R34">
        <f t="shared" si="6"/>
        <v>0</v>
      </c>
      <c r="S34">
        <f>Source!AE52*IF(Source!BS52&lt;&gt; 0, Source!BS52, 1)</f>
        <v>0</v>
      </c>
      <c r="T34">
        <f t="shared" si="7"/>
        <v>0</v>
      </c>
      <c r="U34">
        <v>3</v>
      </c>
      <c r="Z34">
        <f>Source!GF52</f>
        <v>-1706615642</v>
      </c>
      <c r="AA34">
        <v>-1770083690</v>
      </c>
      <c r="AB34">
        <v>-1770083690</v>
      </c>
    </row>
    <row r="35" spans="1:28" x14ac:dyDescent="0.2">
      <c r="A35">
        <f>Source!A53</f>
        <v>18</v>
      </c>
      <c r="B35">
        <v>53</v>
      </c>
      <c r="C35">
        <v>3</v>
      </c>
      <c r="D35">
        <f>Source!BI53</f>
        <v>4</v>
      </c>
      <c r="E35">
        <f>Source!FS53</f>
        <v>0</v>
      </c>
      <c r="F35" t="str">
        <f>Source!F53</f>
        <v>Цена поставщика</v>
      </c>
      <c r="G35" t="str">
        <f>Source!G53</f>
        <v>Переходник для неона</v>
      </c>
      <c r="H35" t="str">
        <f>Source!H53</f>
        <v>шт.</v>
      </c>
      <c r="I35">
        <f>Source!I53</f>
        <v>100</v>
      </c>
      <c r="J35">
        <v>1</v>
      </c>
      <c r="K35">
        <f>Source!AC53</f>
        <v>370.8</v>
      </c>
      <c r="M35">
        <f t="shared" si="4"/>
        <v>37080</v>
      </c>
      <c r="N35">
        <f>Source!AC53*IF(Source!BC53&lt;&gt; 0, Source!BC53, 1)</f>
        <v>370.8</v>
      </c>
      <c r="O35">
        <f t="shared" si="5"/>
        <v>37080</v>
      </c>
      <c r="P35">
        <f>Source!AE53</f>
        <v>0</v>
      </c>
      <c r="R35">
        <f t="shared" si="6"/>
        <v>0</v>
      </c>
      <c r="S35">
        <f>Source!AE53*IF(Source!BS53&lt;&gt; 0, Source!BS53, 1)</f>
        <v>0</v>
      </c>
      <c r="T35">
        <f t="shared" si="7"/>
        <v>0</v>
      </c>
      <c r="U35">
        <v>3</v>
      </c>
      <c r="Z35">
        <f>Source!GF53</f>
        <v>-584541272</v>
      </c>
      <c r="AA35">
        <v>-1491533992</v>
      </c>
      <c r="AB35">
        <v>-1491533992</v>
      </c>
    </row>
    <row r="36" spans="1:28" x14ac:dyDescent="0.2">
      <c r="A36">
        <f>Source!A55</f>
        <v>18</v>
      </c>
      <c r="B36">
        <v>55</v>
      </c>
      <c r="C36">
        <v>3</v>
      </c>
      <c r="D36">
        <f>Source!BI55</f>
        <v>4</v>
      </c>
      <c r="E36">
        <f>Source!FS55</f>
        <v>0</v>
      </c>
      <c r="F36" t="str">
        <f>Source!F55</f>
        <v>Цена поставщика</v>
      </c>
      <c r="G36" t="str">
        <f>Source!G55</f>
        <v>Светодиодный Гибкий Неон LED, односторонний и двухсторонний, белый, синий, красный, зелёный   кратность резки 1 метр, размер 8*16 мм, 220 В, 50 м   120-220V-W/W</v>
      </c>
      <c r="H36" t="str">
        <f>Source!H55</f>
        <v>м.п.</v>
      </c>
      <c r="I36">
        <f>Source!I55</f>
        <v>18</v>
      </c>
      <c r="J36">
        <v>1</v>
      </c>
      <c r="K36">
        <f>Source!AC55</f>
        <v>52529.98</v>
      </c>
      <c r="M36">
        <f t="shared" si="4"/>
        <v>945539.64</v>
      </c>
      <c r="N36">
        <f>Source!AC55*IF(Source!BC55&lt;&gt; 0, Source!BC55, 1)</f>
        <v>52529.98</v>
      </c>
      <c r="O36">
        <f t="shared" si="5"/>
        <v>945539.64</v>
      </c>
      <c r="P36">
        <f>Source!AE55</f>
        <v>0</v>
      </c>
      <c r="R36">
        <f t="shared" si="6"/>
        <v>0</v>
      </c>
      <c r="S36">
        <f>Source!AE55*IF(Source!BS55&lt;&gt; 0, Source!BS55, 1)</f>
        <v>0</v>
      </c>
      <c r="T36">
        <f t="shared" si="7"/>
        <v>0</v>
      </c>
      <c r="U36">
        <v>3</v>
      </c>
      <c r="Z36">
        <f>Source!GF55</f>
        <v>-1984333979</v>
      </c>
      <c r="AA36">
        <v>2123356125</v>
      </c>
      <c r="AB36">
        <v>2123356125</v>
      </c>
    </row>
    <row r="37" spans="1:28" x14ac:dyDescent="0.2">
      <c r="A37">
        <f>Source!A57</f>
        <v>18</v>
      </c>
      <c r="B37">
        <v>57</v>
      </c>
      <c r="C37">
        <v>3</v>
      </c>
      <c r="D37">
        <f>Source!BI57</f>
        <v>4</v>
      </c>
      <c r="E37">
        <f>Source!FS57</f>
        <v>0</v>
      </c>
      <c r="F37" t="str">
        <f>Source!F57</f>
        <v>Цена поставщика</v>
      </c>
      <c r="G37" t="str">
        <f>Source!G57</f>
        <v>Светодиодная лента герметичная   B60-10mm 24V (14.4 W/m, IP65, 5060, 5m)</v>
      </c>
      <c r="H37" t="str">
        <f>Source!H57</f>
        <v/>
      </c>
      <c r="I37">
        <f>Source!I57</f>
        <v>14</v>
      </c>
      <c r="J37">
        <v>1</v>
      </c>
      <c r="K37">
        <f>Source!AC57</f>
        <v>1424.5</v>
      </c>
      <c r="M37">
        <f t="shared" si="4"/>
        <v>19943</v>
      </c>
      <c r="N37">
        <f>Source!AC57*IF(Source!BC57&lt;&gt; 0, Source!BC57, 1)</f>
        <v>1424.5</v>
      </c>
      <c r="O37">
        <f t="shared" si="5"/>
        <v>19943</v>
      </c>
      <c r="P37">
        <f>Source!AE57</f>
        <v>0</v>
      </c>
      <c r="R37">
        <f t="shared" si="6"/>
        <v>0</v>
      </c>
      <c r="S37">
        <f>Source!AE57*IF(Source!BS57&lt;&gt; 0, Source!BS57, 1)</f>
        <v>0</v>
      </c>
      <c r="T37">
        <f t="shared" si="7"/>
        <v>0</v>
      </c>
      <c r="U37">
        <v>3</v>
      </c>
      <c r="Z37">
        <f>Source!GF57</f>
        <v>-630770242</v>
      </c>
      <c r="AA37">
        <v>-1651157475</v>
      </c>
      <c r="AB37">
        <v>-1651157475</v>
      </c>
    </row>
    <row r="38" spans="1:28" x14ac:dyDescent="0.2">
      <c r="A38">
        <f>Source!A59</f>
        <v>18</v>
      </c>
      <c r="B38">
        <v>59</v>
      </c>
      <c r="C38">
        <v>3</v>
      </c>
      <c r="D38">
        <f>Source!BI59</f>
        <v>4</v>
      </c>
      <c r="E38">
        <f>Source!FS59</f>
        <v>0</v>
      </c>
      <c r="F38" t="str">
        <f>Source!F59</f>
        <v>Цена поставщика</v>
      </c>
      <c r="G38" t="str">
        <f>Source!G59</f>
        <v>Блок питания 24V 400W   для подключения светодиодной ленты</v>
      </c>
      <c r="H38" t="str">
        <f>Source!H59</f>
        <v>шт.</v>
      </c>
      <c r="I38">
        <f>Source!I59</f>
        <v>80</v>
      </c>
      <c r="J38">
        <v>1</v>
      </c>
      <c r="K38">
        <f>Source!AC59</f>
        <v>13580.55</v>
      </c>
      <c r="M38">
        <f t="shared" si="4"/>
        <v>1086444</v>
      </c>
      <c r="N38">
        <f>Source!AC59*IF(Source!BC59&lt;&gt; 0, Source!BC59, 1)</f>
        <v>13580.55</v>
      </c>
      <c r="O38">
        <f t="shared" si="5"/>
        <v>1086444</v>
      </c>
      <c r="P38">
        <f>Source!AE59</f>
        <v>0</v>
      </c>
      <c r="R38">
        <f t="shared" si="6"/>
        <v>0</v>
      </c>
      <c r="S38">
        <f>Source!AE59*IF(Source!BS59&lt;&gt; 0, Source!BS59, 1)</f>
        <v>0</v>
      </c>
      <c r="T38">
        <f t="shared" si="7"/>
        <v>0</v>
      </c>
      <c r="U38">
        <v>3</v>
      </c>
      <c r="Z38">
        <f>Source!GF59</f>
        <v>-1367185952</v>
      </c>
      <c r="AA38">
        <v>-1042494526</v>
      </c>
      <c r="AB38">
        <v>-1042494526</v>
      </c>
    </row>
    <row r="39" spans="1:28" x14ac:dyDescent="0.2">
      <c r="A39">
        <f>Source!A61</f>
        <v>18</v>
      </c>
      <c r="B39">
        <v>61</v>
      </c>
      <c r="C39">
        <v>3</v>
      </c>
      <c r="D39">
        <f>Source!BI61</f>
        <v>4</v>
      </c>
      <c r="E39">
        <f>Source!FS61</f>
        <v>0</v>
      </c>
      <c r="F39" t="str">
        <f>Source!F61</f>
        <v>21.21-5-283</v>
      </c>
      <c r="G39" t="str">
        <f>Source!G61</f>
        <v>Предохранители ПН-2 на номинальное напряжение 500 В, тип ПН-2-100</v>
      </c>
      <c r="H39" t="str">
        <f>Source!H61</f>
        <v>шт.</v>
      </c>
      <c r="I39">
        <f>Source!I61</f>
        <v>16</v>
      </c>
      <c r="J39">
        <v>1</v>
      </c>
      <c r="K39">
        <f>Source!AC61</f>
        <v>85.39</v>
      </c>
      <c r="M39">
        <f t="shared" si="4"/>
        <v>1366.24</v>
      </c>
      <c r="N39">
        <f>Source!AC61*IF(Source!BC61&lt;&gt; 0, Source!BC61, 1)</f>
        <v>85.39</v>
      </c>
      <c r="O39">
        <f t="shared" si="5"/>
        <v>1366.24</v>
      </c>
      <c r="P39">
        <f>Source!AE61</f>
        <v>0</v>
      </c>
      <c r="R39">
        <f t="shared" si="6"/>
        <v>0</v>
      </c>
      <c r="S39">
        <f>Source!AE61*IF(Source!BS61&lt;&gt; 0, Source!BS61, 1)</f>
        <v>0</v>
      </c>
      <c r="T39">
        <f t="shared" si="7"/>
        <v>0</v>
      </c>
      <c r="U39">
        <v>3</v>
      </c>
      <c r="Z39">
        <f>Source!GF61</f>
        <v>-1047936037</v>
      </c>
      <c r="AA39">
        <v>-862367787</v>
      </c>
      <c r="AB39">
        <v>-862367787</v>
      </c>
    </row>
    <row r="40" spans="1:28" x14ac:dyDescent="0.2">
      <c r="A40">
        <f>Source!A62</f>
        <v>18</v>
      </c>
      <c r="B40">
        <v>62</v>
      </c>
      <c r="C40">
        <v>3</v>
      </c>
      <c r="D40">
        <f>Source!BI62</f>
        <v>4</v>
      </c>
      <c r="E40">
        <f>Source!FS62</f>
        <v>0</v>
      </c>
      <c r="F40" t="str">
        <f>Source!F62</f>
        <v>21.21-5-417</v>
      </c>
      <c r="G40" t="str">
        <f>Source!G62</f>
        <v>Шина нулевая 6х9 мм на двух угловых пластиковых изоляторах, 4 группы</v>
      </c>
      <c r="H40" t="str">
        <f>Source!H62</f>
        <v>шт.</v>
      </c>
      <c r="I40">
        <f>Source!I62</f>
        <v>16</v>
      </c>
      <c r="J40">
        <v>1</v>
      </c>
      <c r="K40">
        <f>Source!AC62</f>
        <v>58.43</v>
      </c>
      <c r="M40">
        <f t="shared" si="4"/>
        <v>934.88</v>
      </c>
      <c r="N40">
        <f>Source!AC62*IF(Source!BC62&lt;&gt; 0, Source!BC62, 1)</f>
        <v>58.43</v>
      </c>
      <c r="O40">
        <f t="shared" si="5"/>
        <v>934.88</v>
      </c>
      <c r="P40">
        <f>Source!AE62</f>
        <v>0</v>
      </c>
      <c r="R40">
        <f t="shared" si="6"/>
        <v>0</v>
      </c>
      <c r="S40">
        <f>Source!AE62*IF(Source!BS62&lt;&gt; 0, Source!BS62, 1)</f>
        <v>0</v>
      </c>
      <c r="T40">
        <f t="shared" si="7"/>
        <v>0</v>
      </c>
      <c r="U40">
        <v>3</v>
      </c>
      <c r="Z40">
        <f>Source!GF62</f>
        <v>1625983050</v>
      </c>
      <c r="AA40">
        <v>-1741182268</v>
      </c>
      <c r="AB40">
        <v>-1741182268</v>
      </c>
    </row>
    <row r="41" spans="1:28" x14ac:dyDescent="0.2">
      <c r="A41">
        <f>Source!A63</f>
        <v>18</v>
      </c>
      <c r="B41">
        <v>63</v>
      </c>
      <c r="C41">
        <v>3</v>
      </c>
      <c r="D41">
        <f>Source!BI63</f>
        <v>4</v>
      </c>
      <c r="E41">
        <f>Source!FS63</f>
        <v>0</v>
      </c>
      <c r="F41" t="str">
        <f>Source!F63</f>
        <v>21.21-5-89</v>
      </c>
      <c r="G41" t="str">
        <f>Source!G63</f>
        <v>Коробки монтажные установочные пластмассовые, диаметр 60 мм, глубина 40 мм / прим. колпак силиконовый</v>
      </c>
      <c r="H41" t="str">
        <f>Source!H63</f>
        <v>шт.</v>
      </c>
      <c r="I41">
        <f>Source!I63</f>
        <v>64</v>
      </c>
      <c r="J41">
        <v>1</v>
      </c>
      <c r="K41">
        <f>Source!AC63</f>
        <v>157.72999999999999</v>
      </c>
      <c r="M41">
        <f t="shared" si="4"/>
        <v>10094.719999999999</v>
      </c>
      <c r="N41">
        <f>Source!AC63*IF(Source!BC63&lt;&gt; 0, Source!BC63, 1)</f>
        <v>157.72999999999999</v>
      </c>
      <c r="O41">
        <f t="shared" si="5"/>
        <v>10094.719999999999</v>
      </c>
      <c r="P41">
        <f>Source!AE63</f>
        <v>0</v>
      </c>
      <c r="R41">
        <f t="shared" si="6"/>
        <v>0</v>
      </c>
      <c r="S41">
        <f>Source!AE63*IF(Source!BS63&lt;&gt; 0, Source!BS63, 1)</f>
        <v>0</v>
      </c>
      <c r="T41">
        <f t="shared" si="7"/>
        <v>0</v>
      </c>
      <c r="U41">
        <v>3</v>
      </c>
      <c r="Z41">
        <f>Source!GF63</f>
        <v>-115702678</v>
      </c>
      <c r="AA41">
        <v>1158809387</v>
      </c>
      <c r="AB41">
        <v>1158809387</v>
      </c>
    </row>
    <row r="42" spans="1:28" x14ac:dyDescent="0.2">
      <c r="A42">
        <f>Source!A64</f>
        <v>18</v>
      </c>
      <c r="B42">
        <v>64</v>
      </c>
      <c r="C42">
        <v>3</v>
      </c>
      <c r="D42">
        <f>Source!BI64</f>
        <v>4</v>
      </c>
      <c r="E42">
        <f>Source!FS64</f>
        <v>0</v>
      </c>
      <c r="F42" t="str">
        <f>Source!F64</f>
        <v>21.21-5-420</v>
      </c>
      <c r="G42" t="str">
        <f>Source!G64</f>
        <v>Колодки клеммные для сетей наружного освещения, винтовые, количество контактов 4</v>
      </c>
      <c r="H42" t="str">
        <f>Source!H64</f>
        <v>шт.</v>
      </c>
      <c r="I42">
        <f>Source!I64</f>
        <v>16</v>
      </c>
      <c r="J42">
        <v>1</v>
      </c>
      <c r="K42">
        <f>Source!AC64</f>
        <v>212.7</v>
      </c>
      <c r="M42">
        <f t="shared" si="4"/>
        <v>3403.2</v>
      </c>
      <c r="N42">
        <f>Source!AC64*IF(Source!BC64&lt;&gt; 0, Source!BC64, 1)</f>
        <v>212.7</v>
      </c>
      <c r="O42">
        <f t="shared" si="5"/>
        <v>3403.2</v>
      </c>
      <c r="P42">
        <f>Source!AE64</f>
        <v>0</v>
      </c>
      <c r="R42">
        <f t="shared" si="6"/>
        <v>0</v>
      </c>
      <c r="S42">
        <f>Source!AE64*IF(Source!BS64&lt;&gt; 0, Source!BS64, 1)</f>
        <v>0</v>
      </c>
      <c r="T42">
        <f t="shared" si="7"/>
        <v>0</v>
      </c>
      <c r="U42">
        <v>3</v>
      </c>
      <c r="Z42">
        <f>Source!GF64</f>
        <v>-1157508851</v>
      </c>
      <c r="AA42">
        <v>-824306283</v>
      </c>
      <c r="AB42">
        <v>-824306283</v>
      </c>
    </row>
    <row r="43" spans="1:28" x14ac:dyDescent="0.2">
      <c r="A43">
        <f>Source!A65</f>
        <v>18</v>
      </c>
      <c r="B43">
        <v>65</v>
      </c>
      <c r="C43">
        <v>3</v>
      </c>
      <c r="D43">
        <f>Source!BI65</f>
        <v>4</v>
      </c>
      <c r="E43">
        <f>Source!FS65</f>
        <v>0</v>
      </c>
      <c r="F43" t="str">
        <f>Source!F65</f>
        <v>21.21-5-158</v>
      </c>
      <c r="G43" t="str">
        <f>Source!G65</f>
        <v>Муфты соединительные термоусаживаемые для соединения силовых кабелей на напряжение 6, 10 кВ, без соединителей, тип 3 Стп10-240, сечение жил 150-240 мм2</v>
      </c>
      <c r="H43" t="str">
        <f>Source!H65</f>
        <v>компл.</v>
      </c>
      <c r="I43">
        <f>Source!I65</f>
        <v>32</v>
      </c>
      <c r="J43">
        <v>1</v>
      </c>
      <c r="K43">
        <f>Source!AC65</f>
        <v>7737.81</v>
      </c>
      <c r="M43">
        <f t="shared" si="4"/>
        <v>247609.92</v>
      </c>
      <c r="N43">
        <f>Source!AC65*IF(Source!BC65&lt;&gt; 0, Source!BC65, 1)</f>
        <v>7737.81</v>
      </c>
      <c r="O43">
        <f t="shared" si="5"/>
        <v>247609.92</v>
      </c>
      <c r="P43">
        <f>Source!AE65</f>
        <v>0</v>
      </c>
      <c r="R43">
        <f t="shared" si="6"/>
        <v>0</v>
      </c>
      <c r="S43">
        <f>Source!AE65*IF(Source!BS65&lt;&gt; 0, Source!BS65, 1)</f>
        <v>0</v>
      </c>
      <c r="T43">
        <f t="shared" si="7"/>
        <v>0</v>
      </c>
      <c r="U43">
        <v>3</v>
      </c>
      <c r="Z43">
        <f>Source!GF65</f>
        <v>1806748537</v>
      </c>
      <c r="AA43">
        <v>427800643</v>
      </c>
      <c r="AB43">
        <v>427800643</v>
      </c>
    </row>
    <row r="44" spans="1:28" x14ac:dyDescent="0.2">
      <c r="A44">
        <f>Source!A66</f>
        <v>18</v>
      </c>
      <c r="B44">
        <v>66</v>
      </c>
      <c r="C44">
        <v>3</v>
      </c>
      <c r="D44">
        <f>Source!BI66</f>
        <v>4</v>
      </c>
      <c r="E44">
        <f>Source!FS66</f>
        <v>0</v>
      </c>
      <c r="F44" t="str">
        <f>Source!F66</f>
        <v>Цена поставщика</v>
      </c>
      <c r="G44" t="str">
        <f>Source!G66</f>
        <v>Прожектор светодиодный ДО 100 Вт 6500К 10000 лм 100-240В IP65 282х222х68мм Алюминий матовый призматический рассеиватель</v>
      </c>
      <c r="H44" t="str">
        <f>Source!H66</f>
        <v>шт.</v>
      </c>
      <c r="I44">
        <f>Source!I66</f>
        <v>16</v>
      </c>
      <c r="J44">
        <v>1</v>
      </c>
      <c r="K44">
        <f>Source!AC66</f>
        <v>7210.03</v>
      </c>
      <c r="M44">
        <f t="shared" si="4"/>
        <v>115360.48</v>
      </c>
      <c r="N44">
        <f>Source!AC66*IF(Source!BC66&lt;&gt; 0, Source!BC66, 1)</f>
        <v>7210.03</v>
      </c>
      <c r="O44">
        <f t="shared" si="5"/>
        <v>115360.48</v>
      </c>
      <c r="P44">
        <f>Source!AE66</f>
        <v>0</v>
      </c>
      <c r="R44">
        <f t="shared" si="6"/>
        <v>0</v>
      </c>
      <c r="S44">
        <f>Source!AE66*IF(Source!BS66&lt;&gt; 0, Source!BS66, 1)</f>
        <v>0</v>
      </c>
      <c r="T44">
        <f t="shared" si="7"/>
        <v>0</v>
      </c>
      <c r="U44">
        <v>3</v>
      </c>
      <c r="Z44">
        <f>Source!GF66</f>
        <v>95767706</v>
      </c>
      <c r="AA44">
        <v>1589851339</v>
      </c>
      <c r="AB44">
        <v>1589851339</v>
      </c>
    </row>
    <row r="45" spans="1:28" x14ac:dyDescent="0.2">
      <c r="A45">
        <f>Source!A68</f>
        <v>18</v>
      </c>
      <c r="B45">
        <v>68</v>
      </c>
      <c r="C45">
        <v>3</v>
      </c>
      <c r="D45">
        <f>Source!BI68</f>
        <v>4</v>
      </c>
      <c r="E45">
        <f>Source!FS68</f>
        <v>0</v>
      </c>
      <c r="F45" t="str">
        <f>Source!F68</f>
        <v>21.21-5-283</v>
      </c>
      <c r="G45" t="str">
        <f>Source!G68</f>
        <v>Предохранители ПН-2 на номинальное напряжение 500 В, тип ПН-2-100</v>
      </c>
      <c r="H45" t="str">
        <f>Source!H68</f>
        <v>шт.</v>
      </c>
      <c r="I45">
        <f>Source!I68</f>
        <v>11</v>
      </c>
      <c r="J45">
        <v>1</v>
      </c>
      <c r="K45">
        <f>Source!AC68</f>
        <v>85.39</v>
      </c>
      <c r="M45">
        <f t="shared" si="4"/>
        <v>939.29</v>
      </c>
      <c r="N45">
        <f>Source!AC68*IF(Source!BC68&lt;&gt; 0, Source!BC68, 1)</f>
        <v>85.39</v>
      </c>
      <c r="O45">
        <f t="shared" si="5"/>
        <v>939.29</v>
      </c>
      <c r="P45">
        <f>Source!AE68</f>
        <v>0</v>
      </c>
      <c r="R45">
        <f t="shared" si="6"/>
        <v>0</v>
      </c>
      <c r="S45">
        <f>Source!AE68*IF(Source!BS68&lt;&gt; 0, Source!BS68, 1)</f>
        <v>0</v>
      </c>
      <c r="T45">
        <f t="shared" si="7"/>
        <v>0</v>
      </c>
      <c r="U45">
        <v>3</v>
      </c>
      <c r="Z45">
        <f>Source!GF68</f>
        <v>-1047936037</v>
      </c>
      <c r="AA45">
        <v>-862367787</v>
      </c>
      <c r="AB45">
        <v>-862367787</v>
      </c>
    </row>
    <row r="46" spans="1:28" x14ac:dyDescent="0.2">
      <c r="A46">
        <f>Source!A69</f>
        <v>18</v>
      </c>
      <c r="B46">
        <v>69</v>
      </c>
      <c r="C46">
        <v>3</v>
      </c>
      <c r="D46">
        <f>Source!BI69</f>
        <v>4</v>
      </c>
      <c r="E46">
        <f>Source!FS69</f>
        <v>0</v>
      </c>
      <c r="F46" t="str">
        <f>Source!F69</f>
        <v>21.21-5-417</v>
      </c>
      <c r="G46" t="str">
        <f>Source!G69</f>
        <v>Шина нулевая 6х9 мм на двух угловых пластиковых изоляторах, 4 группы</v>
      </c>
      <c r="H46" t="str">
        <f>Source!H69</f>
        <v>шт.</v>
      </c>
      <c r="I46">
        <f>Source!I69</f>
        <v>11</v>
      </c>
      <c r="J46">
        <v>1</v>
      </c>
      <c r="K46">
        <f>Source!AC69</f>
        <v>58.43</v>
      </c>
      <c r="M46">
        <f t="shared" si="4"/>
        <v>642.73</v>
      </c>
      <c r="N46">
        <f>Source!AC69*IF(Source!BC69&lt;&gt; 0, Source!BC69, 1)</f>
        <v>58.43</v>
      </c>
      <c r="O46">
        <f t="shared" si="5"/>
        <v>642.73</v>
      </c>
      <c r="P46">
        <f>Source!AE69</f>
        <v>0</v>
      </c>
      <c r="R46">
        <f t="shared" si="6"/>
        <v>0</v>
      </c>
      <c r="S46">
        <f>Source!AE69*IF(Source!BS69&lt;&gt; 0, Source!BS69, 1)</f>
        <v>0</v>
      </c>
      <c r="T46">
        <f t="shared" si="7"/>
        <v>0</v>
      </c>
      <c r="U46">
        <v>3</v>
      </c>
      <c r="Z46">
        <f>Source!GF69</f>
        <v>1625983050</v>
      </c>
      <c r="AA46">
        <v>-1741182268</v>
      </c>
      <c r="AB46">
        <v>-1741182268</v>
      </c>
    </row>
    <row r="47" spans="1:28" x14ac:dyDescent="0.2">
      <c r="A47">
        <f>Source!A70</f>
        <v>18</v>
      </c>
      <c r="B47">
        <v>70</v>
      </c>
      <c r="C47">
        <v>3</v>
      </c>
      <c r="D47">
        <f>Source!BI70</f>
        <v>4</v>
      </c>
      <c r="E47">
        <f>Source!FS70</f>
        <v>0</v>
      </c>
      <c r="F47" t="str">
        <f>Source!F70</f>
        <v>21.21-5-89</v>
      </c>
      <c r="G47" t="str">
        <f>Source!G70</f>
        <v>Коробки монтажные установочные пластмассовые, диаметр 60 мм, глубина 40 мм / прим. колпак силиконовый</v>
      </c>
      <c r="H47" t="str">
        <f>Source!H70</f>
        <v>шт.</v>
      </c>
      <c r="I47">
        <f>Source!I70</f>
        <v>44</v>
      </c>
      <c r="J47">
        <v>1</v>
      </c>
      <c r="K47">
        <f>Source!AC70</f>
        <v>157.72999999999999</v>
      </c>
      <c r="M47">
        <f t="shared" si="4"/>
        <v>6940.12</v>
      </c>
      <c r="N47">
        <f>Source!AC70*IF(Source!BC70&lt;&gt; 0, Source!BC70, 1)</f>
        <v>157.72999999999999</v>
      </c>
      <c r="O47">
        <f t="shared" si="5"/>
        <v>6940.12</v>
      </c>
      <c r="P47">
        <f>Source!AE70</f>
        <v>0</v>
      </c>
      <c r="R47">
        <f t="shared" si="6"/>
        <v>0</v>
      </c>
      <c r="S47">
        <f>Source!AE70*IF(Source!BS70&lt;&gt; 0, Source!BS70, 1)</f>
        <v>0</v>
      </c>
      <c r="T47">
        <f t="shared" si="7"/>
        <v>0</v>
      </c>
      <c r="U47">
        <v>3</v>
      </c>
      <c r="Z47">
        <f>Source!GF70</f>
        <v>-115702678</v>
      </c>
      <c r="AA47">
        <v>1158809387</v>
      </c>
      <c r="AB47">
        <v>1158809387</v>
      </c>
    </row>
    <row r="48" spans="1:28" x14ac:dyDescent="0.2">
      <c r="A48">
        <f>Source!A71</f>
        <v>18</v>
      </c>
      <c r="B48">
        <v>71</v>
      </c>
      <c r="C48">
        <v>3</v>
      </c>
      <c r="D48">
        <f>Source!BI71</f>
        <v>4</v>
      </c>
      <c r="E48">
        <f>Source!FS71</f>
        <v>0</v>
      </c>
      <c r="F48" t="str">
        <f>Source!F71</f>
        <v>21.21-5-420</v>
      </c>
      <c r="G48" t="str">
        <f>Source!G71</f>
        <v>Колодки клеммные для сетей наружного освещения, винтовые, количество контактов 4</v>
      </c>
      <c r="H48" t="str">
        <f>Source!H71</f>
        <v>шт.</v>
      </c>
      <c r="I48">
        <f>Source!I71</f>
        <v>11</v>
      </c>
      <c r="J48">
        <v>1</v>
      </c>
      <c r="K48">
        <f>Source!AC71</f>
        <v>212.7</v>
      </c>
      <c r="M48">
        <f t="shared" si="4"/>
        <v>2339.6999999999998</v>
      </c>
      <c r="N48">
        <f>Source!AC71*IF(Source!BC71&lt;&gt; 0, Source!BC71, 1)</f>
        <v>212.7</v>
      </c>
      <c r="O48">
        <f t="shared" si="5"/>
        <v>2339.6999999999998</v>
      </c>
      <c r="P48">
        <f>Source!AE71</f>
        <v>0</v>
      </c>
      <c r="R48">
        <f t="shared" si="6"/>
        <v>0</v>
      </c>
      <c r="S48">
        <f>Source!AE71*IF(Source!BS71&lt;&gt; 0, Source!BS71, 1)</f>
        <v>0</v>
      </c>
      <c r="T48">
        <f t="shared" si="7"/>
        <v>0</v>
      </c>
      <c r="U48">
        <v>3</v>
      </c>
      <c r="Z48">
        <f>Source!GF71</f>
        <v>-1157508851</v>
      </c>
      <c r="AA48">
        <v>-824306283</v>
      </c>
      <c r="AB48">
        <v>-824306283</v>
      </c>
    </row>
    <row r="49" spans="1:28" x14ac:dyDescent="0.2">
      <c r="A49">
        <f>Source!A72</f>
        <v>18</v>
      </c>
      <c r="B49">
        <v>72</v>
      </c>
      <c r="C49">
        <v>3</v>
      </c>
      <c r="D49">
        <f>Source!BI72</f>
        <v>4</v>
      </c>
      <c r="E49">
        <f>Source!FS72</f>
        <v>0</v>
      </c>
      <c r="F49" t="str">
        <f>Source!F72</f>
        <v>21.21-5-158</v>
      </c>
      <c r="G49" t="str">
        <f>Source!G72</f>
        <v>Муфты соединительные термоусаживаемые для соединения силовых кабелей на напряжение 6, 10 кВ, без соединителей, тип 3 Стп10-240, сечение жил 150-240 мм2</v>
      </c>
      <c r="H49" t="str">
        <f>Source!H72</f>
        <v>компл.</v>
      </c>
      <c r="I49">
        <f>Source!I72</f>
        <v>22</v>
      </c>
      <c r="J49">
        <v>1</v>
      </c>
      <c r="K49">
        <f>Source!AC72</f>
        <v>7737.81</v>
      </c>
      <c r="M49">
        <f t="shared" si="4"/>
        <v>170231.82</v>
      </c>
      <c r="N49">
        <f>Source!AC72*IF(Source!BC72&lt;&gt; 0, Source!BC72, 1)</f>
        <v>7737.81</v>
      </c>
      <c r="O49">
        <f t="shared" si="5"/>
        <v>170231.82</v>
      </c>
      <c r="P49">
        <f>Source!AE72</f>
        <v>0</v>
      </c>
      <c r="R49">
        <f t="shared" si="6"/>
        <v>0</v>
      </c>
      <c r="S49">
        <f>Source!AE72*IF(Source!BS72&lt;&gt; 0, Source!BS72, 1)</f>
        <v>0</v>
      </c>
      <c r="T49">
        <f t="shared" si="7"/>
        <v>0</v>
      </c>
      <c r="U49">
        <v>3</v>
      </c>
      <c r="Z49">
        <f>Source!GF72</f>
        <v>1806748537</v>
      </c>
      <c r="AA49">
        <v>427800643</v>
      </c>
      <c r="AB49">
        <v>427800643</v>
      </c>
    </row>
    <row r="50" spans="1:28" x14ac:dyDescent="0.2">
      <c r="A50">
        <f>Source!A73</f>
        <v>18</v>
      </c>
      <c r="B50">
        <v>73</v>
      </c>
      <c r="C50">
        <v>3</v>
      </c>
      <c r="D50">
        <f>Source!BI73</f>
        <v>4</v>
      </c>
      <c r="E50">
        <f>Source!FS73</f>
        <v>0</v>
      </c>
      <c r="F50" t="str">
        <f>Source!F73</f>
        <v>Цена поставщика</v>
      </c>
      <c r="G50" t="str">
        <f>Source!G73</f>
        <v>Светодиодный линейный прожектор   36LED 6400К, 1000х40х48mm, 36W 85-265V, IP65</v>
      </c>
      <c r="H50" t="str">
        <f>Source!H73</f>
        <v>шт.</v>
      </c>
      <c r="I50">
        <f>Source!I73</f>
        <v>11</v>
      </c>
      <c r="J50">
        <v>1</v>
      </c>
      <c r="K50">
        <f>Source!AC73</f>
        <v>9712.83</v>
      </c>
      <c r="M50">
        <f t="shared" si="4"/>
        <v>106841.13</v>
      </c>
      <c r="N50">
        <f>Source!AC73*IF(Source!BC73&lt;&gt; 0, Source!BC73, 1)</f>
        <v>9712.83</v>
      </c>
      <c r="O50">
        <f t="shared" si="5"/>
        <v>106841.13</v>
      </c>
      <c r="P50">
        <f>Source!AE73</f>
        <v>0</v>
      </c>
      <c r="R50">
        <f t="shared" si="6"/>
        <v>0</v>
      </c>
      <c r="S50">
        <f>Source!AE73*IF(Source!BS73&lt;&gt; 0, Source!BS73, 1)</f>
        <v>0</v>
      </c>
      <c r="T50">
        <f t="shared" si="7"/>
        <v>0</v>
      </c>
      <c r="U50">
        <v>3</v>
      </c>
      <c r="Z50">
        <f>Source!GF73</f>
        <v>1523191370</v>
      </c>
      <c r="AA50">
        <v>1084842295</v>
      </c>
      <c r="AB50">
        <v>1084842295</v>
      </c>
    </row>
    <row r="51" spans="1:28" x14ac:dyDescent="0.2">
      <c r="A51">
        <f>Source!A75</f>
        <v>18</v>
      </c>
      <c r="B51">
        <v>75</v>
      </c>
      <c r="C51">
        <v>3</v>
      </c>
      <c r="D51">
        <f>Source!BI75</f>
        <v>4</v>
      </c>
      <c r="E51">
        <f>Source!FS75</f>
        <v>0</v>
      </c>
      <c r="F51" t="str">
        <f>Source!F75</f>
        <v>21.21-5-283</v>
      </c>
      <c r="G51" t="str">
        <f>Source!G75</f>
        <v>Предохранители ПН-2 на номинальное напряжение 500 В, тип ПН-2-100</v>
      </c>
      <c r="H51" t="str">
        <f>Source!H75</f>
        <v>шт.</v>
      </c>
      <c r="I51">
        <f>Source!I75</f>
        <v>65</v>
      </c>
      <c r="J51">
        <v>1</v>
      </c>
      <c r="K51">
        <f>Source!AC75</f>
        <v>85.39</v>
      </c>
      <c r="M51">
        <f t="shared" si="4"/>
        <v>5550.35</v>
      </c>
      <c r="N51">
        <f>Source!AC75*IF(Source!BC75&lt;&gt; 0, Source!BC75, 1)</f>
        <v>85.39</v>
      </c>
      <c r="O51">
        <f t="shared" si="5"/>
        <v>5550.35</v>
      </c>
      <c r="P51">
        <f>Source!AE75</f>
        <v>0</v>
      </c>
      <c r="R51">
        <f t="shared" si="6"/>
        <v>0</v>
      </c>
      <c r="S51">
        <f>Source!AE75*IF(Source!BS75&lt;&gt; 0, Source!BS75, 1)</f>
        <v>0</v>
      </c>
      <c r="T51">
        <f t="shared" si="7"/>
        <v>0</v>
      </c>
      <c r="U51">
        <v>3</v>
      </c>
      <c r="Z51">
        <f>Source!GF75</f>
        <v>-1047936037</v>
      </c>
      <c r="AA51">
        <v>-862367787</v>
      </c>
      <c r="AB51">
        <v>-862367787</v>
      </c>
    </row>
    <row r="52" spans="1:28" x14ac:dyDescent="0.2">
      <c r="A52">
        <f>Source!A76</f>
        <v>18</v>
      </c>
      <c r="B52">
        <v>76</v>
      </c>
      <c r="C52">
        <v>3</v>
      </c>
      <c r="D52">
        <f>Source!BI76</f>
        <v>4</v>
      </c>
      <c r="E52">
        <f>Source!FS76</f>
        <v>0</v>
      </c>
      <c r="F52" t="str">
        <f>Source!F76</f>
        <v>21.21-5-417</v>
      </c>
      <c r="G52" t="str">
        <f>Source!G76</f>
        <v>Шина нулевая 6х9 мм на двух угловых пластиковых изоляторах, 4 группы</v>
      </c>
      <c r="H52" t="str">
        <f>Source!H76</f>
        <v>шт.</v>
      </c>
      <c r="I52">
        <f>Source!I76</f>
        <v>65</v>
      </c>
      <c r="J52">
        <v>1</v>
      </c>
      <c r="K52">
        <f>Source!AC76</f>
        <v>58.43</v>
      </c>
      <c r="M52">
        <f t="shared" si="4"/>
        <v>3797.95</v>
      </c>
      <c r="N52">
        <f>Source!AC76*IF(Source!BC76&lt;&gt; 0, Source!BC76, 1)</f>
        <v>58.43</v>
      </c>
      <c r="O52">
        <f t="shared" si="5"/>
        <v>3797.95</v>
      </c>
      <c r="P52">
        <f>Source!AE76</f>
        <v>0</v>
      </c>
      <c r="R52">
        <f t="shared" si="6"/>
        <v>0</v>
      </c>
      <c r="S52">
        <f>Source!AE76*IF(Source!BS76&lt;&gt; 0, Source!BS76, 1)</f>
        <v>0</v>
      </c>
      <c r="T52">
        <f t="shared" si="7"/>
        <v>0</v>
      </c>
      <c r="U52">
        <v>3</v>
      </c>
      <c r="Z52">
        <f>Source!GF76</f>
        <v>1625983050</v>
      </c>
      <c r="AA52">
        <v>-1741182268</v>
      </c>
      <c r="AB52">
        <v>-1741182268</v>
      </c>
    </row>
    <row r="53" spans="1:28" x14ac:dyDescent="0.2">
      <c r="A53">
        <f>Source!A77</f>
        <v>18</v>
      </c>
      <c r="B53">
        <v>77</v>
      </c>
      <c r="C53">
        <v>3</v>
      </c>
      <c r="D53">
        <f>Source!BI77</f>
        <v>4</v>
      </c>
      <c r="E53">
        <f>Source!FS77</f>
        <v>0</v>
      </c>
      <c r="F53" t="str">
        <f>Source!F77</f>
        <v>21.21-5-89</v>
      </c>
      <c r="G53" t="str">
        <f>Source!G77</f>
        <v>Коробки монтажные установочные пластмассовые, диаметр 60 мм, глубина 40 мм / прим. колпак силиконовый</v>
      </c>
      <c r="H53" t="str">
        <f>Source!H77</f>
        <v>шт.</v>
      </c>
      <c r="I53">
        <f>Source!I77</f>
        <v>260</v>
      </c>
      <c r="J53">
        <v>1</v>
      </c>
      <c r="K53">
        <f>Source!AC77</f>
        <v>157.72999999999999</v>
      </c>
      <c r="M53">
        <f t="shared" si="4"/>
        <v>41009.800000000003</v>
      </c>
      <c r="N53">
        <f>Source!AC77*IF(Source!BC77&lt;&gt; 0, Source!BC77, 1)</f>
        <v>157.72999999999999</v>
      </c>
      <c r="O53">
        <f t="shared" si="5"/>
        <v>41009.800000000003</v>
      </c>
      <c r="P53">
        <f>Source!AE77</f>
        <v>0</v>
      </c>
      <c r="R53">
        <f t="shared" si="6"/>
        <v>0</v>
      </c>
      <c r="S53">
        <f>Source!AE77*IF(Source!BS77&lt;&gt; 0, Source!BS77, 1)</f>
        <v>0</v>
      </c>
      <c r="T53">
        <f t="shared" si="7"/>
        <v>0</v>
      </c>
      <c r="U53">
        <v>3</v>
      </c>
      <c r="Z53">
        <f>Source!GF77</f>
        <v>-115702678</v>
      </c>
      <c r="AA53">
        <v>1158809387</v>
      </c>
      <c r="AB53">
        <v>1158809387</v>
      </c>
    </row>
    <row r="54" spans="1:28" x14ac:dyDescent="0.2">
      <c r="A54">
        <f>Source!A78</f>
        <v>18</v>
      </c>
      <c r="B54">
        <v>78</v>
      </c>
      <c r="C54">
        <v>3</v>
      </c>
      <c r="D54">
        <f>Source!BI78</f>
        <v>4</v>
      </c>
      <c r="E54">
        <f>Source!FS78</f>
        <v>0</v>
      </c>
      <c r="F54" t="str">
        <f>Source!F78</f>
        <v>21.21-5-420</v>
      </c>
      <c r="G54" t="str">
        <f>Source!G78</f>
        <v>Колодки клеммные для сетей наружного освещения, винтовые, количество контактов 4</v>
      </c>
      <c r="H54" t="str">
        <f>Source!H78</f>
        <v>шт.</v>
      </c>
      <c r="I54">
        <f>Source!I78</f>
        <v>65</v>
      </c>
      <c r="J54">
        <v>1</v>
      </c>
      <c r="K54">
        <f>Source!AC78</f>
        <v>212.7</v>
      </c>
      <c r="M54">
        <f t="shared" si="4"/>
        <v>13825.5</v>
      </c>
      <c r="N54">
        <f>Source!AC78*IF(Source!BC78&lt;&gt; 0, Source!BC78, 1)</f>
        <v>212.7</v>
      </c>
      <c r="O54">
        <f t="shared" si="5"/>
        <v>13825.5</v>
      </c>
      <c r="P54">
        <f>Source!AE78</f>
        <v>0</v>
      </c>
      <c r="R54">
        <f t="shared" si="6"/>
        <v>0</v>
      </c>
      <c r="S54">
        <f>Source!AE78*IF(Source!BS78&lt;&gt; 0, Source!BS78, 1)</f>
        <v>0</v>
      </c>
      <c r="T54">
        <f t="shared" si="7"/>
        <v>0</v>
      </c>
      <c r="U54">
        <v>3</v>
      </c>
      <c r="Z54">
        <f>Source!GF78</f>
        <v>-1157508851</v>
      </c>
      <c r="AA54">
        <v>-824306283</v>
      </c>
      <c r="AB54">
        <v>-824306283</v>
      </c>
    </row>
    <row r="55" spans="1:28" x14ac:dyDescent="0.2">
      <c r="A55">
        <f>Source!A79</f>
        <v>18</v>
      </c>
      <c r="B55">
        <v>79</v>
      </c>
      <c r="C55">
        <v>3</v>
      </c>
      <c r="D55">
        <f>Source!BI79</f>
        <v>4</v>
      </c>
      <c r="E55">
        <f>Source!FS79</f>
        <v>0</v>
      </c>
      <c r="F55" t="str">
        <f>Source!F79</f>
        <v>21.21-5-158</v>
      </c>
      <c r="G55" t="str">
        <f>Source!G79</f>
        <v>Муфты соединительные термоусаживаемые для соединения силовых кабелей на напряжение 6, 10 кВ, без соединителей, тип 3 Стп10-240, сечение жил 150-240 мм2</v>
      </c>
      <c r="H55" t="str">
        <f>Source!H79</f>
        <v>компл.</v>
      </c>
      <c r="I55">
        <f>Source!I79</f>
        <v>130</v>
      </c>
      <c r="J55">
        <v>1</v>
      </c>
      <c r="K55">
        <f>Source!AC79</f>
        <v>7737.81</v>
      </c>
      <c r="M55">
        <f t="shared" si="4"/>
        <v>1005915.3</v>
      </c>
      <c r="N55">
        <f>Source!AC79*IF(Source!BC79&lt;&gt; 0, Source!BC79, 1)</f>
        <v>7737.81</v>
      </c>
      <c r="O55">
        <f t="shared" si="5"/>
        <v>1005915.3</v>
      </c>
      <c r="P55">
        <f>Source!AE79</f>
        <v>0</v>
      </c>
      <c r="R55">
        <f t="shared" si="6"/>
        <v>0</v>
      </c>
      <c r="S55">
        <f>Source!AE79*IF(Source!BS79&lt;&gt; 0, Source!BS79, 1)</f>
        <v>0</v>
      </c>
      <c r="T55">
        <f t="shared" si="7"/>
        <v>0</v>
      </c>
      <c r="U55">
        <v>3</v>
      </c>
      <c r="Z55">
        <f>Source!GF79</f>
        <v>1806748537</v>
      </c>
      <c r="AA55">
        <v>427800643</v>
      </c>
      <c r="AB55">
        <v>427800643</v>
      </c>
    </row>
    <row r="56" spans="1:28" x14ac:dyDescent="0.2">
      <c r="A56">
        <f>Source!A80</f>
        <v>18</v>
      </c>
      <c r="B56">
        <v>80</v>
      </c>
      <c r="C56">
        <v>3</v>
      </c>
      <c r="D56">
        <f>Source!BI80</f>
        <v>4</v>
      </c>
      <c r="E56">
        <f>Source!FS80</f>
        <v>0</v>
      </c>
      <c r="F56" t="str">
        <f>Source!F80</f>
        <v>Цена поставщика</v>
      </c>
      <c r="G56" t="str">
        <f>Source!G80</f>
        <v>Светодиодный Прожектор  50Вт 4000К IP65 асимметричный</v>
      </c>
      <c r="H56" t="str">
        <f>Source!H80</f>
        <v>шт.</v>
      </c>
      <c r="I56">
        <f>Source!I80</f>
        <v>65</v>
      </c>
      <c r="J56">
        <v>1</v>
      </c>
      <c r="K56">
        <f>Source!AC80</f>
        <v>4907.99</v>
      </c>
      <c r="M56">
        <f t="shared" si="4"/>
        <v>319019.34999999998</v>
      </c>
      <c r="N56">
        <f>Source!AC80*IF(Source!BC80&lt;&gt; 0, Source!BC80, 1)</f>
        <v>4907.99</v>
      </c>
      <c r="O56">
        <f t="shared" si="5"/>
        <v>319019.34999999998</v>
      </c>
      <c r="P56">
        <f>Source!AE80</f>
        <v>0</v>
      </c>
      <c r="R56">
        <f t="shared" si="6"/>
        <v>0</v>
      </c>
      <c r="S56">
        <f>Source!AE80*IF(Source!BS80&lt;&gt; 0, Source!BS80, 1)</f>
        <v>0</v>
      </c>
      <c r="T56">
        <f t="shared" si="7"/>
        <v>0</v>
      </c>
      <c r="U56">
        <v>3</v>
      </c>
      <c r="Z56">
        <f>Source!GF80</f>
        <v>-378601777</v>
      </c>
      <c r="AA56">
        <v>-782151575</v>
      </c>
      <c r="AB56">
        <v>-782151575</v>
      </c>
    </row>
    <row r="57" spans="1:28" x14ac:dyDescent="0.2">
      <c r="A57">
        <f>Source!A82</f>
        <v>18</v>
      </c>
      <c r="B57">
        <v>82</v>
      </c>
      <c r="C57">
        <v>3</v>
      </c>
      <c r="D57">
        <f>Source!BI82</f>
        <v>4</v>
      </c>
      <c r="E57">
        <f>Source!FS82</f>
        <v>0</v>
      </c>
      <c r="F57" t="str">
        <f>Source!F82</f>
        <v>Цена поставщика</v>
      </c>
      <c r="G57" t="str">
        <f>Source!G82</f>
        <v>Шкаф коммутационный для блоков питания</v>
      </c>
      <c r="H57" t="str">
        <f>Source!H82</f>
        <v>шт.</v>
      </c>
      <c r="I57">
        <f>Source!I82</f>
        <v>8</v>
      </c>
      <c r="J57">
        <v>1</v>
      </c>
      <c r="K57">
        <f>Source!AC82</f>
        <v>12359.98</v>
      </c>
      <c r="M57">
        <f t="shared" si="4"/>
        <v>98879.84</v>
      </c>
      <c r="N57">
        <f>Source!AC82*IF(Source!BC82&lt;&gt; 0, Source!BC82, 1)</f>
        <v>12359.98</v>
      </c>
      <c r="O57">
        <f t="shared" si="5"/>
        <v>98879.84</v>
      </c>
      <c r="P57">
        <f>Source!AE82</f>
        <v>0</v>
      </c>
      <c r="R57">
        <f t="shared" si="6"/>
        <v>0</v>
      </c>
      <c r="S57">
        <f>Source!AE82*IF(Source!BS82&lt;&gt; 0, Source!BS82, 1)</f>
        <v>0</v>
      </c>
      <c r="T57">
        <f t="shared" si="7"/>
        <v>0</v>
      </c>
      <c r="U57">
        <v>3</v>
      </c>
      <c r="Z57">
        <f>Source!GF82</f>
        <v>1546664729</v>
      </c>
      <c r="AA57">
        <v>549871300</v>
      </c>
      <c r="AB57">
        <v>549871300</v>
      </c>
    </row>
    <row r="58" spans="1:28" x14ac:dyDescent="0.2">
      <c r="A58">
        <f>Source!A84</f>
        <v>18</v>
      </c>
      <c r="B58">
        <v>84</v>
      </c>
      <c r="C58">
        <v>3</v>
      </c>
      <c r="D58">
        <f>Source!BI84</f>
        <v>4</v>
      </c>
      <c r="E58">
        <f>Source!FS84</f>
        <v>0</v>
      </c>
      <c r="F58" t="str">
        <f>Source!F84</f>
        <v>Цена поставщика</v>
      </c>
      <c r="G58" t="str">
        <f>Source!G84</f>
        <v>Нержавеющий трос в пвх оплетке 3,0/4,0 мм, 100м</v>
      </c>
      <c r="H58" t="str">
        <f>Source!H84</f>
        <v>м.п.</v>
      </c>
      <c r="I58">
        <f>Source!I84</f>
        <v>3</v>
      </c>
      <c r="J58">
        <v>1</v>
      </c>
      <c r="K58">
        <f>Source!AC84</f>
        <v>16376.98</v>
      </c>
      <c r="M58">
        <f t="shared" si="4"/>
        <v>49130.94</v>
      </c>
      <c r="N58">
        <f>Source!AC84*IF(Source!BC84&lt;&gt; 0, Source!BC84, 1)</f>
        <v>16376.98</v>
      </c>
      <c r="O58">
        <f t="shared" si="5"/>
        <v>49130.94</v>
      </c>
      <c r="P58">
        <f>Source!AE84</f>
        <v>0</v>
      </c>
      <c r="R58">
        <f t="shared" si="6"/>
        <v>0</v>
      </c>
      <c r="S58">
        <f>Source!AE84*IF(Source!BS84&lt;&gt; 0, Source!BS84, 1)</f>
        <v>0</v>
      </c>
      <c r="T58">
        <f t="shared" si="7"/>
        <v>0</v>
      </c>
      <c r="U58">
        <v>3</v>
      </c>
      <c r="Z58">
        <f>Source!GF84</f>
        <v>858739744</v>
      </c>
      <c r="AA58">
        <v>1698987494</v>
      </c>
      <c r="AB58">
        <v>1698987494</v>
      </c>
    </row>
    <row r="59" spans="1:28" x14ac:dyDescent="0.2">
      <c r="A59">
        <f>Source!A149</f>
        <v>3</v>
      </c>
      <c r="B59">
        <v>149</v>
      </c>
      <c r="G59" t="str">
        <f>Source!G149</f>
        <v>Декорационное оформление</v>
      </c>
    </row>
    <row r="60" spans="1:28" x14ac:dyDescent="0.2">
      <c r="A60">
        <f>Source!A153</f>
        <v>4</v>
      </c>
      <c r="B60">
        <v>153</v>
      </c>
      <c r="G60" t="str">
        <f>Source!G153</f>
        <v>Разработка дизайн-проекта</v>
      </c>
    </row>
    <row r="61" spans="1:28" x14ac:dyDescent="0.2">
      <c r="A61">
        <f>Source!A157</f>
        <v>17</v>
      </c>
      <c r="B61">
        <v>157</v>
      </c>
      <c r="C61">
        <v>3</v>
      </c>
      <c r="D61">
        <f>Source!BI157</f>
        <v>1</v>
      </c>
      <c r="E61">
        <f>Source!FS157</f>
        <v>0</v>
      </c>
      <c r="F61" t="str">
        <f>Source!F157</f>
        <v>Цена поставщика</v>
      </c>
      <c r="G61" t="str">
        <f>Source!G157</f>
        <v>Разработка дизайн-проекта</v>
      </c>
      <c r="H61" t="str">
        <f>Source!H157</f>
        <v>шт.</v>
      </c>
      <c r="I61">
        <f>Source!I157</f>
        <v>1</v>
      </c>
      <c r="J61">
        <v>1</v>
      </c>
      <c r="K61">
        <f>Source!AC157</f>
        <v>1948150.23</v>
      </c>
      <c r="M61">
        <f>ROUND(K61*I61, 2)</f>
        <v>1948150.23</v>
      </c>
      <c r="N61">
        <f>Source!AC157*IF(Source!BC157&lt;&gt; 0, Source!BC157, 1)</f>
        <v>1948150.23</v>
      </c>
      <c r="O61">
        <f>ROUND(N61*I61, 2)</f>
        <v>1948150.23</v>
      </c>
      <c r="P61">
        <f>Source!AE157</f>
        <v>0</v>
      </c>
      <c r="R61">
        <f>ROUND(P61*I61, 2)</f>
        <v>0</v>
      </c>
      <c r="S61">
        <f>Source!AE157*IF(Source!BS157&lt;&gt; 0, Source!BS157, 1)</f>
        <v>0</v>
      </c>
      <c r="T61">
        <f>ROUND(S61*I61, 2)</f>
        <v>0</v>
      </c>
      <c r="U61">
        <v>3</v>
      </c>
      <c r="Z61">
        <f>Source!GF157</f>
        <v>1286138718</v>
      </c>
      <c r="AA61">
        <v>-1359196953</v>
      </c>
      <c r="AB61">
        <v>-1359196953</v>
      </c>
    </row>
    <row r="62" spans="1:28" x14ac:dyDescent="0.2">
      <c r="A62">
        <f>Source!A189</f>
        <v>4</v>
      </c>
      <c r="B62">
        <v>189</v>
      </c>
      <c r="G62" t="str">
        <f>Source!G189</f>
        <v>Входная группа</v>
      </c>
    </row>
    <row r="63" spans="1:28" x14ac:dyDescent="0.2">
      <c r="A63">
        <f>Source!A193</f>
        <v>17</v>
      </c>
      <c r="B63">
        <v>193</v>
      </c>
      <c r="C63">
        <v>3</v>
      </c>
      <c r="D63">
        <f>Source!BI193</f>
        <v>1</v>
      </c>
      <c r="E63">
        <f>Source!FS193</f>
        <v>0</v>
      </c>
      <c r="F63" t="str">
        <f>Source!F193</f>
        <v>Цена поставщика</v>
      </c>
      <c r="G63" t="str">
        <f>Source!G193</f>
        <v>Ограждения Н 1100 58000*1100  (Силовой конструктив -каркас 638 м2 , металлический каркас, окрасочные работы, белый мат, полноцветная печать на баннерной ткани 720 dpi , монтажный крепеж. Ниша для подсветки 50*25 ,580 м.п. уголок улюминиевый,монтажный крепеж)</v>
      </c>
      <c r="H63" t="str">
        <f>Source!H193</f>
        <v>компл.</v>
      </c>
      <c r="I63">
        <f>Source!I193</f>
        <v>1</v>
      </c>
      <c r="J63">
        <v>1</v>
      </c>
      <c r="K63">
        <f>Source!AC193</f>
        <v>3573800.02</v>
      </c>
      <c r="M63">
        <f t="shared" ref="M63:M70" si="8">ROUND(K63*I63, 2)</f>
        <v>3573800.02</v>
      </c>
      <c r="N63">
        <f>Source!AC193*IF(Source!BC193&lt;&gt; 0, Source!BC193, 1)</f>
        <v>3573800.02</v>
      </c>
      <c r="O63">
        <f t="shared" ref="O63:O70" si="9">ROUND(N63*I63, 2)</f>
        <v>3573800.02</v>
      </c>
      <c r="P63">
        <f>Source!AE193</f>
        <v>0</v>
      </c>
      <c r="R63">
        <f t="shared" ref="R63:R70" si="10">ROUND(P63*I63, 2)</f>
        <v>0</v>
      </c>
      <c r="S63">
        <f>Source!AE193*IF(Source!BS193&lt;&gt; 0, Source!BS193, 1)</f>
        <v>0</v>
      </c>
      <c r="T63">
        <f t="shared" ref="T63:T70" si="11">ROUND(S63*I63, 2)</f>
        <v>0</v>
      </c>
      <c r="U63">
        <v>3</v>
      </c>
      <c r="Z63">
        <f>Source!GF193</f>
        <v>801724823</v>
      </c>
      <c r="AA63">
        <v>1724570280</v>
      </c>
      <c r="AB63">
        <v>1724570280</v>
      </c>
    </row>
    <row r="64" spans="1:28" x14ac:dyDescent="0.2">
      <c r="A64">
        <f>Source!A194</f>
        <v>17</v>
      </c>
      <c r="B64">
        <v>194</v>
      </c>
      <c r="C64">
        <v>3</v>
      </c>
      <c r="D64">
        <f>Source!BI194</f>
        <v>1</v>
      </c>
      <c r="E64">
        <f>Source!FS194</f>
        <v>0</v>
      </c>
      <c r="F64" t="str">
        <f>Source!F194</f>
        <v>Цена поставщика</v>
      </c>
      <c r="G64" t="str">
        <f>Source!G194</f>
        <v>Ограждения Н 2100 27000*2100  (Силовой конструктив -каркас 57м2 , металлический каркас, окрасочные работы, белый мат, полноцветная печать на баннерной ткани 720 dpi , монтажный крепеж. Ниша для подсветки 50*25, 580 м.п. уголок улюминиевый,монтажный крепеж)</v>
      </c>
      <c r="H64" t="str">
        <f>Source!H194</f>
        <v>компл.</v>
      </c>
      <c r="I64">
        <f>Source!I194</f>
        <v>1</v>
      </c>
      <c r="J64">
        <v>1</v>
      </c>
      <c r="K64">
        <f>Source!AC194</f>
        <v>1340299.95</v>
      </c>
      <c r="M64">
        <f t="shared" si="8"/>
        <v>1340299.95</v>
      </c>
      <c r="N64">
        <f>Source!AC194*IF(Source!BC194&lt;&gt; 0, Source!BC194, 1)</f>
        <v>1340299.95</v>
      </c>
      <c r="O64">
        <f t="shared" si="9"/>
        <v>1340299.95</v>
      </c>
      <c r="P64">
        <f>Source!AE194</f>
        <v>0</v>
      </c>
      <c r="R64">
        <f t="shared" si="10"/>
        <v>0</v>
      </c>
      <c r="S64">
        <f>Source!AE194*IF(Source!BS194&lt;&gt; 0, Source!BS194, 1)</f>
        <v>0</v>
      </c>
      <c r="T64">
        <f t="shared" si="11"/>
        <v>0</v>
      </c>
      <c r="U64">
        <v>3</v>
      </c>
      <c r="Z64">
        <f>Source!GF194</f>
        <v>-1625132343</v>
      </c>
      <c r="AA64">
        <v>621107620</v>
      </c>
      <c r="AB64">
        <v>621107620</v>
      </c>
    </row>
    <row r="65" spans="1:28" x14ac:dyDescent="0.2">
      <c r="A65">
        <f>Source!A195</f>
        <v>17</v>
      </c>
      <c r="B65">
        <v>195</v>
      </c>
      <c r="C65">
        <v>3</v>
      </c>
      <c r="D65">
        <f>Source!BI195</f>
        <v>1</v>
      </c>
      <c r="E65">
        <f>Source!FS195</f>
        <v>0</v>
      </c>
      <c r="F65" t="str">
        <f>Source!F195</f>
        <v>Цена поставщика</v>
      </c>
      <c r="G65" t="str">
        <f>Source!G195</f>
        <v>Ограждения Н 3700, 2600*3700  (Силовой конструктив -каркас 77м2 , металлический каркас, окрасочные работы, белый мат, полноцветная печать на баннерной ткани 720 dpi , откосы,монтажный крепеж.)</v>
      </c>
      <c r="H65" t="str">
        <f>Source!H195</f>
        <v>компл.</v>
      </c>
      <c r="I65">
        <f>Source!I195</f>
        <v>1</v>
      </c>
      <c r="J65">
        <v>1</v>
      </c>
      <c r="K65">
        <f>Source!AC195</f>
        <v>1407616.15</v>
      </c>
      <c r="M65">
        <f t="shared" si="8"/>
        <v>1407616.15</v>
      </c>
      <c r="N65">
        <f>Source!AC195*IF(Source!BC195&lt;&gt; 0, Source!BC195, 1)</f>
        <v>1407616.15</v>
      </c>
      <c r="O65">
        <f t="shared" si="9"/>
        <v>1407616.15</v>
      </c>
      <c r="P65">
        <f>Source!AE195</f>
        <v>0</v>
      </c>
      <c r="R65">
        <f t="shared" si="10"/>
        <v>0</v>
      </c>
      <c r="S65">
        <f>Source!AE195*IF(Source!BS195&lt;&gt; 0, Source!BS195, 1)</f>
        <v>0</v>
      </c>
      <c r="T65">
        <f t="shared" si="11"/>
        <v>0</v>
      </c>
      <c r="U65">
        <v>3</v>
      </c>
      <c r="Z65">
        <f>Source!GF195</f>
        <v>-2042942662</v>
      </c>
      <c r="AA65">
        <v>-800311408</v>
      </c>
      <c r="AB65">
        <v>-800311408</v>
      </c>
    </row>
    <row r="66" spans="1:28" x14ac:dyDescent="0.2">
      <c r="A66">
        <f>Source!A196</f>
        <v>17</v>
      </c>
      <c r="B66">
        <v>196</v>
      </c>
      <c r="C66">
        <v>3</v>
      </c>
      <c r="D66">
        <f>Source!BI196</f>
        <v>1</v>
      </c>
      <c r="E66">
        <f>Source!FS196</f>
        <v>0</v>
      </c>
      <c r="F66" t="str">
        <f>Source!F196</f>
        <v>Цена поставщика</v>
      </c>
      <c r="G66" t="str">
        <f>Source!G196</f>
        <v>Ограждения Н 4000, 10000*4000  (Силовой конструктив -каркас 40м2 , металлический каркас, окрасочные работы, белый мат, полноцветная печать на баннерной ткани 720 dpi , откосы,монтажный крепеж Ниша для подсветки уголок алюминиевый 50*25 ,580 м.п.)</v>
      </c>
      <c r="H66" t="str">
        <f>Source!H196</f>
        <v>компл.</v>
      </c>
      <c r="I66">
        <f>Source!I196</f>
        <v>1</v>
      </c>
      <c r="J66">
        <v>1</v>
      </c>
      <c r="K66">
        <f>Source!AC196</f>
        <v>1216633.3500000001</v>
      </c>
      <c r="M66">
        <f t="shared" si="8"/>
        <v>1216633.3500000001</v>
      </c>
      <c r="N66">
        <f>Source!AC196*IF(Source!BC196&lt;&gt; 0, Source!BC196, 1)</f>
        <v>1216633.3500000001</v>
      </c>
      <c r="O66">
        <f t="shared" si="9"/>
        <v>1216633.3500000001</v>
      </c>
      <c r="P66">
        <f>Source!AE196</f>
        <v>0</v>
      </c>
      <c r="R66">
        <f t="shared" si="10"/>
        <v>0</v>
      </c>
      <c r="S66">
        <f>Source!AE196*IF(Source!BS196&lt;&gt; 0, Source!BS196, 1)</f>
        <v>0</v>
      </c>
      <c r="T66">
        <f t="shared" si="11"/>
        <v>0</v>
      </c>
      <c r="U66">
        <v>3</v>
      </c>
      <c r="Z66">
        <f>Source!GF196</f>
        <v>-557937021</v>
      </c>
      <c r="AA66">
        <v>-1970064672</v>
      </c>
      <c r="AB66">
        <v>-1970064672</v>
      </c>
    </row>
    <row r="67" spans="1:28" x14ac:dyDescent="0.2">
      <c r="A67">
        <f>Source!A197</f>
        <v>17</v>
      </c>
      <c r="B67">
        <v>197</v>
      </c>
      <c r="C67">
        <v>3</v>
      </c>
      <c r="D67">
        <f>Source!BI197</f>
        <v>1</v>
      </c>
      <c r="E67">
        <f>Source!FS197</f>
        <v>0</v>
      </c>
      <c r="F67" t="str">
        <f>Source!F197</f>
        <v>Цена поставщика</v>
      </c>
      <c r="G67" t="str">
        <f>Source!G197</f>
        <v>Надпись 1- Москино, 5200*2100*250 (Силовой конструктив -каркас 2 шт , металлический каркас, окрасочные работы, белый мат, полноцветная печать на баннерной ткани 720 dpi , задник для фиксации ленты) Декорирование обратной стороны (металлический каркас, покрасочные работ, белый мат., баннерный белый, торцевые накладки, герметик, монтажный крепеж)</v>
      </c>
      <c r="H67" t="str">
        <f>Source!H197</f>
        <v>компл.</v>
      </c>
      <c r="I67">
        <f>Source!I197</f>
        <v>1</v>
      </c>
      <c r="J67">
        <v>1</v>
      </c>
      <c r="K67">
        <f>Source!AC197</f>
        <v>1025950.01</v>
      </c>
      <c r="M67">
        <f t="shared" si="8"/>
        <v>1025950.01</v>
      </c>
      <c r="N67">
        <f>Source!AC197*IF(Source!BC197&lt;&gt; 0, Source!BC197, 1)</f>
        <v>1025950.01</v>
      </c>
      <c r="O67">
        <f t="shared" si="9"/>
        <v>1025950.01</v>
      </c>
      <c r="P67">
        <f>Source!AE197</f>
        <v>0</v>
      </c>
      <c r="R67">
        <f t="shared" si="10"/>
        <v>0</v>
      </c>
      <c r="S67">
        <f>Source!AE197*IF(Source!BS197&lt;&gt; 0, Source!BS197, 1)</f>
        <v>0</v>
      </c>
      <c r="T67">
        <f t="shared" si="11"/>
        <v>0</v>
      </c>
      <c r="U67">
        <v>3</v>
      </c>
      <c r="Z67">
        <f>Source!GF197</f>
        <v>357705870</v>
      </c>
      <c r="AA67">
        <v>933463507</v>
      </c>
      <c r="AB67">
        <v>933463507</v>
      </c>
    </row>
    <row r="68" spans="1:28" x14ac:dyDescent="0.2">
      <c r="A68">
        <f>Source!A198</f>
        <v>17</v>
      </c>
      <c r="B68">
        <v>198</v>
      </c>
      <c r="C68">
        <v>3</v>
      </c>
      <c r="D68">
        <f>Source!BI198</f>
        <v>1</v>
      </c>
      <c r="E68">
        <f>Source!FS198</f>
        <v>0</v>
      </c>
      <c r="F68" t="str">
        <f>Source!F198</f>
        <v>Цена поставщика</v>
      </c>
      <c r="G68" t="str">
        <f>Source!G198</f>
        <v>Хлопушка 4300*4800*400  (Силовой конструктив -каркас 4 шт, металлический каркас, окрасочные работы, белый мат, полноцветная печать на баннерной ткани 720 dpi , монтажный крепеж.Декорирование обратной стороны (металлический каркас, покрасочные работ, белый мат., баннерный белый, торцевые накладки, герметик, монтажный крепеж) 4 шт.</v>
      </c>
      <c r="H68" t="str">
        <f>Source!H198</f>
        <v>компл.</v>
      </c>
      <c r="I68">
        <f>Source!I198</f>
        <v>1</v>
      </c>
      <c r="J68">
        <v>1</v>
      </c>
      <c r="K68">
        <f>Source!AC198</f>
        <v>1372399.97</v>
      </c>
      <c r="M68">
        <f t="shared" si="8"/>
        <v>1372399.97</v>
      </c>
      <c r="N68">
        <f>Source!AC198*IF(Source!BC198&lt;&gt; 0, Source!BC198, 1)</f>
        <v>1372399.97</v>
      </c>
      <c r="O68">
        <f t="shared" si="9"/>
        <v>1372399.97</v>
      </c>
      <c r="P68">
        <f>Source!AE198</f>
        <v>0</v>
      </c>
      <c r="R68">
        <f t="shared" si="10"/>
        <v>0</v>
      </c>
      <c r="S68">
        <f>Source!AE198*IF(Source!BS198&lt;&gt; 0, Source!BS198, 1)</f>
        <v>0</v>
      </c>
      <c r="T68">
        <f t="shared" si="11"/>
        <v>0</v>
      </c>
      <c r="U68">
        <v>3</v>
      </c>
      <c r="Z68">
        <f>Source!GF198</f>
        <v>-630559716</v>
      </c>
      <c r="AA68">
        <v>1942497527</v>
      </c>
      <c r="AB68">
        <v>1942497527</v>
      </c>
    </row>
    <row r="69" spans="1:28" x14ac:dyDescent="0.2">
      <c r="A69">
        <f>Source!A199</f>
        <v>17</v>
      </c>
      <c r="B69">
        <v>199</v>
      </c>
      <c r="C69">
        <v>3</v>
      </c>
      <c r="D69">
        <f>Source!BI199</f>
        <v>1</v>
      </c>
      <c r="E69">
        <f>Source!FS199</f>
        <v>0</v>
      </c>
      <c r="F69" t="str">
        <f>Source!F199</f>
        <v>Цена поставщика</v>
      </c>
      <c r="G69" t="str">
        <f>Source!G199</f>
        <v>Надпись 2- Москино, 7500*2600*400 (Силовой конструктив -каркас 2 шт , металлический каркас, окрасочные работы, белый мат, полноцветная печать на баннерной ткани 720 dpi , задник для фиксации ленты) Декорирование обратной стороны (металлический каркас, покрасочные работ, белый мат., баннерный белый, торцевые накладки, герметик, монтажный крепеж)</v>
      </c>
      <c r="H69" t="str">
        <f>Source!H199</f>
        <v>компл.</v>
      </c>
      <c r="I69">
        <f>Source!I199</f>
        <v>1</v>
      </c>
      <c r="J69">
        <v>1</v>
      </c>
      <c r="K69">
        <f>Source!AC199</f>
        <v>1008000.02</v>
      </c>
      <c r="M69">
        <f t="shared" si="8"/>
        <v>1008000.02</v>
      </c>
      <c r="N69">
        <f>Source!AC199*IF(Source!BC199&lt;&gt; 0, Source!BC199, 1)</f>
        <v>1008000.02</v>
      </c>
      <c r="O69">
        <f t="shared" si="9"/>
        <v>1008000.02</v>
      </c>
      <c r="P69">
        <f>Source!AE199</f>
        <v>0</v>
      </c>
      <c r="R69">
        <f t="shared" si="10"/>
        <v>0</v>
      </c>
      <c r="S69">
        <f>Source!AE199*IF(Source!BS199&lt;&gt; 0, Source!BS199, 1)</f>
        <v>0</v>
      </c>
      <c r="T69">
        <f t="shared" si="11"/>
        <v>0</v>
      </c>
      <c r="U69">
        <v>3</v>
      </c>
      <c r="Z69">
        <f>Source!GF199</f>
        <v>398826196</v>
      </c>
      <c r="AA69">
        <v>1622058721</v>
      </c>
      <c r="AB69">
        <v>1622058721</v>
      </c>
    </row>
    <row r="70" spans="1:28" x14ac:dyDescent="0.2">
      <c r="A70">
        <f>Source!A200</f>
        <v>17</v>
      </c>
      <c r="B70">
        <v>200</v>
      </c>
      <c r="C70">
        <v>3</v>
      </c>
      <c r="D70">
        <f>Source!BI200</f>
        <v>1</v>
      </c>
      <c r="E70">
        <f>Source!FS200</f>
        <v>0</v>
      </c>
      <c r="F70" t="str">
        <f>Source!F200</f>
        <v>Цена поставщика</v>
      </c>
      <c r="G70" t="str">
        <f>Source!G200</f>
        <v>Направляющий профиль под подсветку 600000*25*25, 600 м.п (Силовой конструктив, металлический каркас 25*25 , покрасочные работы, белый мат, куплунг крепеж Т- образный)</v>
      </c>
      <c r="H70" t="str">
        <f>Source!H200</f>
        <v>компл.</v>
      </c>
      <c r="I70">
        <f>Source!I200</f>
        <v>1</v>
      </c>
      <c r="J70">
        <v>1</v>
      </c>
      <c r="K70">
        <f>Source!AC200</f>
        <v>1134331.6299999999</v>
      </c>
      <c r="M70">
        <f t="shared" si="8"/>
        <v>1134331.6299999999</v>
      </c>
      <c r="N70">
        <f>Source!AC200*IF(Source!BC200&lt;&gt; 0, Source!BC200, 1)</f>
        <v>1134331.6299999999</v>
      </c>
      <c r="O70">
        <f t="shared" si="9"/>
        <v>1134331.6299999999</v>
      </c>
      <c r="P70">
        <f>Source!AE200</f>
        <v>0</v>
      </c>
      <c r="R70">
        <f t="shared" si="10"/>
        <v>0</v>
      </c>
      <c r="S70">
        <f>Source!AE200*IF(Source!BS200&lt;&gt; 0, Source!BS200, 1)</f>
        <v>0</v>
      </c>
      <c r="T70">
        <f t="shared" si="11"/>
        <v>0</v>
      </c>
      <c r="U70">
        <v>3</v>
      </c>
      <c r="Z70">
        <f>Source!GF200</f>
        <v>-1668232077</v>
      </c>
      <c r="AA70">
        <v>742492942</v>
      </c>
      <c r="AB70">
        <v>742492942</v>
      </c>
    </row>
    <row r="71" spans="1:28" x14ac:dyDescent="0.2">
      <c r="A71">
        <v>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47856-01E6-4A8B-A3B3-091F6138649F}">
  <sheetPr>
    <pageSetUpPr fitToPage="1"/>
  </sheetPr>
  <dimension ref="A2:Q56"/>
  <sheetViews>
    <sheetView workbookViewId="0"/>
  </sheetViews>
  <sheetFormatPr defaultRowHeight="12.75" x14ac:dyDescent="0.2"/>
  <cols>
    <col min="1" max="1" width="18.5703125" customWidth="1"/>
    <col min="2" max="2" width="40.5703125" customWidth="1"/>
    <col min="3" max="4" width="12.5703125" customWidth="1"/>
    <col min="15" max="15" width="36" hidden="1" customWidth="1"/>
    <col min="16" max="18" width="0" hidden="1" customWidth="1"/>
  </cols>
  <sheetData>
    <row r="2" spans="1:17" ht="16.5" x14ac:dyDescent="0.2">
      <c r="A2" s="66" t="s">
        <v>446</v>
      </c>
      <c r="B2" s="67"/>
      <c r="C2" s="67"/>
      <c r="D2" s="67"/>
    </row>
    <row r="3" spans="1:17" ht="49.5" x14ac:dyDescent="0.2">
      <c r="A3" s="66" t="str">
        <f>CONCATENATE("Объект: ",IF(Source!G264&lt;&gt;"Новый объект", Source!G264, ""))</f>
        <v>Объект: Выполнение комплекса работ по изготовлению и монтажу декоративных элементов тюбинговой горки</v>
      </c>
      <c r="B3" s="67"/>
      <c r="C3" s="67"/>
      <c r="D3" s="67"/>
      <c r="O3" s="36" t="s">
        <v>447</v>
      </c>
    </row>
    <row r="4" spans="1:17" ht="28.5" x14ac:dyDescent="0.2">
      <c r="A4" s="17" t="s">
        <v>448</v>
      </c>
      <c r="B4" s="17" t="s">
        <v>449</v>
      </c>
      <c r="C4" s="17" t="s">
        <v>340</v>
      </c>
      <c r="D4" s="17" t="s">
        <v>450</v>
      </c>
    </row>
    <row r="5" spans="1:17" ht="14.25" x14ac:dyDescent="0.2">
      <c r="A5" s="17">
        <v>1</v>
      </c>
      <c r="B5" s="17">
        <v>2</v>
      </c>
      <c r="C5" s="17">
        <v>3</v>
      </c>
      <c r="D5" s="17">
        <v>4</v>
      </c>
    </row>
    <row r="6" spans="1:17" ht="14.25" x14ac:dyDescent="0.2">
      <c r="A6" s="68" t="s">
        <v>451</v>
      </c>
      <c r="B6" s="69"/>
      <c r="C6" s="69"/>
      <c r="D6" s="69"/>
    </row>
    <row r="7" spans="1:17" ht="14.25" x14ac:dyDescent="0.2">
      <c r="A7" s="37" t="s">
        <v>301</v>
      </c>
      <c r="B7" s="38" t="s">
        <v>303</v>
      </c>
      <c r="C7" s="38" t="s">
        <v>304</v>
      </c>
      <c r="D7" s="39">
        <f>ROUND(SUMIF(RV_DATA!Z6:Z70, 180314326, RV_DATA!I6:I70), 6)</f>
        <v>7.1040000000000006E-2</v>
      </c>
      <c r="Q7">
        <v>3</v>
      </c>
    </row>
    <row r="8" spans="1:17" ht="14.25" x14ac:dyDescent="0.2">
      <c r="A8" s="37" t="s">
        <v>305</v>
      </c>
      <c r="B8" s="38" t="s">
        <v>307</v>
      </c>
      <c r="C8" s="38" t="s">
        <v>18</v>
      </c>
      <c r="D8" s="39">
        <f>ROUND(SUMIF(RV_DATA!Z6:Z70, 48747201, RV_DATA!I6:I70), 6)</f>
        <v>3840</v>
      </c>
      <c r="Q8">
        <v>3</v>
      </c>
    </row>
    <row r="9" spans="1:17" ht="28.5" x14ac:dyDescent="0.2">
      <c r="A9" s="37" t="s">
        <v>274</v>
      </c>
      <c r="B9" s="38" t="s">
        <v>276</v>
      </c>
      <c r="C9" s="38" t="s">
        <v>277</v>
      </c>
      <c r="D9" s="39">
        <f>ROUND(SUMIF(RV_DATA!Z6:Z70, -1733743716, RV_DATA!I6:I70), 6)</f>
        <v>3.84</v>
      </c>
      <c r="Q9">
        <v>3</v>
      </c>
    </row>
    <row r="10" spans="1:17" ht="57" x14ac:dyDescent="0.2">
      <c r="A10" s="37" t="s">
        <v>308</v>
      </c>
      <c r="B10" s="38" t="s">
        <v>310</v>
      </c>
      <c r="C10" s="38" t="s">
        <v>281</v>
      </c>
      <c r="D10" s="39">
        <f>ROUND(SUMIF(RV_DATA!Z6:Z70, 1309474923, RV_DATA!I6:I70), 6)</f>
        <v>3264</v>
      </c>
      <c r="Q10">
        <v>3</v>
      </c>
    </row>
    <row r="11" spans="1:17" ht="14.25" x14ac:dyDescent="0.2">
      <c r="A11" s="37" t="s">
        <v>278</v>
      </c>
      <c r="B11" s="38" t="s">
        <v>280</v>
      </c>
      <c r="C11" s="38" t="s">
        <v>281</v>
      </c>
      <c r="D11" s="39">
        <f>ROUND(SUMIF(RV_DATA!Z6:Z70, -1241089019, RV_DATA!I6:I70), 6)</f>
        <v>132</v>
      </c>
      <c r="Q11">
        <v>3</v>
      </c>
    </row>
    <row r="12" spans="1:17" ht="71.25" x14ac:dyDescent="0.2">
      <c r="A12" s="37" t="s">
        <v>152</v>
      </c>
      <c r="B12" s="38" t="s">
        <v>153</v>
      </c>
      <c r="C12" s="38" t="s">
        <v>154</v>
      </c>
      <c r="D12" s="39">
        <f>ROUND(SUMIF(RV_DATA!Z6:Z70, 1806748537, RV_DATA!I6:I70), 6)</f>
        <v>184</v>
      </c>
      <c r="Q12">
        <v>3</v>
      </c>
    </row>
    <row r="13" spans="1:17" ht="28.5" x14ac:dyDescent="0.2">
      <c r="A13" s="37" t="s">
        <v>282</v>
      </c>
      <c r="B13" s="38" t="s">
        <v>284</v>
      </c>
      <c r="C13" s="38" t="s">
        <v>285</v>
      </c>
      <c r="D13" s="39">
        <f>ROUND(SUMIF(RV_DATA!Z6:Z70, 372904863, RV_DATA!I6:I70), 6)</f>
        <v>0.12</v>
      </c>
      <c r="Q13">
        <v>3</v>
      </c>
    </row>
    <row r="14" spans="1:17" ht="42.75" x14ac:dyDescent="0.2">
      <c r="A14" s="37" t="s">
        <v>97</v>
      </c>
      <c r="B14" s="38" t="s">
        <v>98</v>
      </c>
      <c r="C14" s="38" t="s">
        <v>18</v>
      </c>
      <c r="D14" s="39">
        <f>ROUND(SUMIF(RV_DATA!Z6:Z70, -816974938, RV_DATA!I6:I70), 6)</f>
        <v>1</v>
      </c>
      <c r="Q14">
        <v>3</v>
      </c>
    </row>
    <row r="15" spans="1:17" ht="28.5" x14ac:dyDescent="0.2">
      <c r="A15" s="37" t="s">
        <v>136</v>
      </c>
      <c r="B15" s="38" t="s">
        <v>137</v>
      </c>
      <c r="C15" s="38" t="s">
        <v>18</v>
      </c>
      <c r="D15" s="39">
        <f>ROUND(SUMIF(RV_DATA!Z6:Z70, -1047936037, RV_DATA!I6:I70), 6)</f>
        <v>92</v>
      </c>
      <c r="Q15">
        <v>3</v>
      </c>
    </row>
    <row r="16" spans="1:17" ht="57" x14ac:dyDescent="0.2">
      <c r="A16" s="37" t="s">
        <v>286</v>
      </c>
      <c r="B16" s="38" t="s">
        <v>288</v>
      </c>
      <c r="C16" s="38" t="s">
        <v>18</v>
      </c>
      <c r="D16" s="39">
        <f>ROUND(SUMIF(RV_DATA!Z6:Z70, -1606980538, RV_DATA!I6:I70), 6)</f>
        <v>240</v>
      </c>
      <c r="Q16">
        <v>3</v>
      </c>
    </row>
    <row r="17" spans="1:17" ht="28.5" x14ac:dyDescent="0.2">
      <c r="A17" s="37" t="s">
        <v>289</v>
      </c>
      <c r="B17" s="38" t="s">
        <v>291</v>
      </c>
      <c r="C17" s="38" t="s">
        <v>86</v>
      </c>
      <c r="D17" s="39">
        <f>ROUND(SUMIF(RV_DATA!Z6:Z70, -820215927, RV_DATA!I6:I70), 6)</f>
        <v>7.2</v>
      </c>
      <c r="Q17">
        <v>3</v>
      </c>
    </row>
    <row r="18" spans="1:17" ht="42.75" x14ac:dyDescent="0.2">
      <c r="A18" s="37" t="s">
        <v>311</v>
      </c>
      <c r="B18" s="38" t="s">
        <v>313</v>
      </c>
      <c r="C18" s="38" t="s">
        <v>86</v>
      </c>
      <c r="D18" s="39">
        <f>ROUND(SUMIF(RV_DATA!Z6:Z70, 461636772, RV_DATA!I6:I70), 6)</f>
        <v>32</v>
      </c>
      <c r="Q18">
        <v>3</v>
      </c>
    </row>
    <row r="19" spans="1:17" ht="28.5" x14ac:dyDescent="0.2">
      <c r="A19" s="37" t="s">
        <v>140</v>
      </c>
      <c r="B19" s="38" t="s">
        <v>141</v>
      </c>
      <c r="C19" s="38" t="s">
        <v>18</v>
      </c>
      <c r="D19" s="39">
        <f>ROUND(SUMIF(RV_DATA!Z6:Z70, 1625983050, RV_DATA!I6:I70), 6)</f>
        <v>92</v>
      </c>
      <c r="Q19">
        <v>3</v>
      </c>
    </row>
    <row r="20" spans="1:17" ht="42.75" x14ac:dyDescent="0.2">
      <c r="A20" s="37" t="s">
        <v>148</v>
      </c>
      <c r="B20" s="38" t="s">
        <v>149</v>
      </c>
      <c r="C20" s="38" t="s">
        <v>18</v>
      </c>
      <c r="D20" s="39">
        <f>ROUND(SUMIF(RV_DATA!Z6:Z70, -1157508851, RV_DATA!I6:I70), 6)</f>
        <v>92</v>
      </c>
      <c r="Q20">
        <v>3</v>
      </c>
    </row>
    <row r="21" spans="1:17" ht="14.25" x14ac:dyDescent="0.2">
      <c r="A21" s="37" t="s">
        <v>292</v>
      </c>
      <c r="B21" s="38" t="s">
        <v>294</v>
      </c>
      <c r="C21" s="38" t="s">
        <v>285</v>
      </c>
      <c r="D21" s="39">
        <f>ROUND(SUMIF(RV_DATA!Z6:Z70, -562871419, RV_DATA!I6:I70), 6)</f>
        <v>0.48</v>
      </c>
      <c r="Q21">
        <v>3</v>
      </c>
    </row>
    <row r="22" spans="1:17" ht="57" x14ac:dyDescent="0.2">
      <c r="A22" s="37" t="s">
        <v>101</v>
      </c>
      <c r="B22" s="38" t="s">
        <v>102</v>
      </c>
      <c r="C22" s="38" t="s">
        <v>18</v>
      </c>
      <c r="D22" s="39">
        <f>ROUND(SUMIF(RV_DATA!Z6:Z70, -569902613, RV_DATA!I6:I70), 6)</f>
        <v>1</v>
      </c>
      <c r="Q22">
        <v>3</v>
      </c>
    </row>
    <row r="23" spans="1:17" ht="85.5" x14ac:dyDescent="0.2">
      <c r="A23" s="37" t="s">
        <v>66</v>
      </c>
      <c r="B23" s="38" t="s">
        <v>67</v>
      </c>
      <c r="C23" s="38" t="s">
        <v>18</v>
      </c>
      <c r="D23" s="39">
        <f>ROUND(SUMIF(RV_DATA!Z6:Z70, 691857670, RV_DATA!I6:I70), 6)</f>
        <v>900</v>
      </c>
      <c r="Q23">
        <v>3</v>
      </c>
    </row>
    <row r="24" spans="1:17" ht="57" x14ac:dyDescent="0.2">
      <c r="A24" s="37" t="s">
        <v>144</v>
      </c>
      <c r="B24" s="38" t="s">
        <v>145</v>
      </c>
      <c r="C24" s="38" t="s">
        <v>18</v>
      </c>
      <c r="D24" s="39">
        <f>ROUND(SUMIF(RV_DATA!Z6:Z70, -115702678, RV_DATA!I6:I70), 6)</f>
        <v>368</v>
      </c>
      <c r="Q24">
        <v>3</v>
      </c>
    </row>
    <row r="25" spans="1:17" ht="42.75" x14ac:dyDescent="0.2">
      <c r="A25" s="37" t="s">
        <v>314</v>
      </c>
      <c r="B25" s="38" t="s">
        <v>316</v>
      </c>
      <c r="C25" s="38" t="s">
        <v>18</v>
      </c>
      <c r="D25" s="39">
        <f>ROUND(SUMIF(RV_DATA!Z6:Z70, -1751065174, RV_DATA!I6:I70), 6)</f>
        <v>48</v>
      </c>
      <c r="Q25">
        <v>3</v>
      </c>
    </row>
    <row r="26" spans="1:17" ht="14.25" x14ac:dyDescent="0.2">
      <c r="A26" s="37" t="s">
        <v>24</v>
      </c>
      <c r="B26" s="38" t="s">
        <v>25</v>
      </c>
      <c r="C26" s="38" t="s">
        <v>18</v>
      </c>
      <c r="D26" s="39">
        <f>ROUND(SUMIF(RV_DATA!Z6:Z70, 1652571088, RV_DATA!I6:I70), 6)</f>
        <v>3</v>
      </c>
      <c r="Q26">
        <v>3</v>
      </c>
    </row>
    <row r="27" spans="1:17" ht="14.25" x14ac:dyDescent="0.2">
      <c r="A27" s="37" t="s">
        <v>24</v>
      </c>
      <c r="B27" s="38" t="s">
        <v>33</v>
      </c>
      <c r="C27" s="38" t="s">
        <v>18</v>
      </c>
      <c r="D27" s="39">
        <f>ROUND(SUMIF(RV_DATA!Z6:Z70, 347318189, RV_DATA!I6:I70), 6)</f>
        <v>3</v>
      </c>
      <c r="Q27">
        <v>3</v>
      </c>
    </row>
    <row r="28" spans="1:17" ht="14.25" x14ac:dyDescent="0.2">
      <c r="A28" s="37" t="s">
        <v>24</v>
      </c>
      <c r="B28" s="38" t="s">
        <v>36</v>
      </c>
      <c r="C28" s="38" t="s">
        <v>18</v>
      </c>
      <c r="D28" s="39">
        <f>ROUND(SUMIF(RV_DATA!Z6:Z70, -187466034, RV_DATA!I6:I70), 6)</f>
        <v>10</v>
      </c>
      <c r="Q28">
        <v>3</v>
      </c>
    </row>
    <row r="29" spans="1:17" ht="14.25" x14ac:dyDescent="0.2">
      <c r="A29" s="37" t="s">
        <v>24</v>
      </c>
      <c r="B29" s="38" t="s">
        <v>39</v>
      </c>
      <c r="C29" s="38" t="s">
        <v>18</v>
      </c>
      <c r="D29" s="39">
        <f>ROUND(SUMIF(RV_DATA!Z6:Z70, 4058684, RV_DATA!I6:I70), 6)</f>
        <v>10</v>
      </c>
      <c r="Q29">
        <v>3</v>
      </c>
    </row>
    <row r="30" spans="1:17" ht="14.25" x14ac:dyDescent="0.2">
      <c r="A30" s="37" t="s">
        <v>24</v>
      </c>
      <c r="B30" s="38" t="s">
        <v>42</v>
      </c>
      <c r="C30" s="38" t="s">
        <v>18</v>
      </c>
      <c r="D30" s="39">
        <f>ROUND(SUMIF(RV_DATA!Z6:Z70, 100909151, RV_DATA!I6:I70), 6)</f>
        <v>4</v>
      </c>
      <c r="Q30">
        <v>3</v>
      </c>
    </row>
    <row r="31" spans="1:17" ht="28.5" x14ac:dyDescent="0.2">
      <c r="A31" s="37" t="s">
        <v>24</v>
      </c>
      <c r="B31" s="38" t="s">
        <v>45</v>
      </c>
      <c r="C31" s="38" t="s">
        <v>18</v>
      </c>
      <c r="D31" s="39">
        <f>ROUND(SUMIF(RV_DATA!Z6:Z70, 427429176, RV_DATA!I6:I70), 6)</f>
        <v>12</v>
      </c>
      <c r="Q31">
        <v>3</v>
      </c>
    </row>
    <row r="32" spans="1:17" ht="14.25" x14ac:dyDescent="0.2">
      <c r="A32" s="37" t="s">
        <v>24</v>
      </c>
      <c r="B32" s="38" t="s">
        <v>58</v>
      </c>
      <c r="C32" s="38" t="s">
        <v>59</v>
      </c>
      <c r="D32" s="39">
        <f>ROUND(SUMIF(RV_DATA!Z6:Z70, 581377310, RV_DATA!I6:I70), 6)</f>
        <v>2400</v>
      </c>
      <c r="Q32">
        <v>3</v>
      </c>
    </row>
    <row r="33" spans="1:17" ht="14.25" x14ac:dyDescent="0.2">
      <c r="A33" s="37" t="s">
        <v>24</v>
      </c>
      <c r="B33" s="38" t="s">
        <v>78</v>
      </c>
      <c r="C33" s="38" t="s">
        <v>59</v>
      </c>
      <c r="D33" s="39">
        <f>ROUND(SUMIF(RV_DATA!Z6:Z70, 129704407, RV_DATA!I6:I70), 6)</f>
        <v>800</v>
      </c>
      <c r="Q33">
        <v>3</v>
      </c>
    </row>
    <row r="34" spans="1:17" ht="28.5" x14ac:dyDescent="0.2">
      <c r="A34" s="37" t="s">
        <v>24</v>
      </c>
      <c r="B34" s="38" t="s">
        <v>81</v>
      </c>
      <c r="C34" s="38" t="s">
        <v>18</v>
      </c>
      <c r="D34" s="39">
        <f>ROUND(SUMIF(RV_DATA!Z6:Z70, 1578297991, RV_DATA!I6:I70), 6)</f>
        <v>30</v>
      </c>
      <c r="Q34">
        <v>3</v>
      </c>
    </row>
    <row r="35" spans="1:17" ht="42.75" x14ac:dyDescent="0.2">
      <c r="A35" s="37" t="s">
        <v>24</v>
      </c>
      <c r="B35" s="38" t="s">
        <v>89</v>
      </c>
      <c r="C35" s="38" t="s">
        <v>18</v>
      </c>
      <c r="D35" s="39">
        <f>ROUND(SUMIF(RV_DATA!Z6:Z70, -1432749690, RV_DATA!I6:I70), 6)</f>
        <v>16</v>
      </c>
      <c r="Q35">
        <v>3</v>
      </c>
    </row>
    <row r="36" spans="1:17" ht="42.75" x14ac:dyDescent="0.2">
      <c r="A36" s="37" t="s">
        <v>24</v>
      </c>
      <c r="B36" s="38" t="s">
        <v>92</v>
      </c>
      <c r="C36" s="38" t="s">
        <v>18</v>
      </c>
      <c r="D36" s="39">
        <f>ROUND(SUMIF(RV_DATA!Z6:Z70, -191325540, RV_DATA!I6:I70), 6)</f>
        <v>74</v>
      </c>
      <c r="Q36">
        <v>3</v>
      </c>
    </row>
    <row r="37" spans="1:17" ht="28.5" x14ac:dyDescent="0.2">
      <c r="A37" s="37" t="s">
        <v>24</v>
      </c>
      <c r="B37" s="38" t="s">
        <v>94</v>
      </c>
      <c r="C37" s="38" t="s">
        <v>18</v>
      </c>
      <c r="D37" s="39">
        <f>ROUND(SUMIF(RV_DATA!Z6:Z70, -2131730029, RV_DATA!I6:I70), 6)</f>
        <v>100</v>
      </c>
      <c r="Q37">
        <v>3</v>
      </c>
    </row>
    <row r="38" spans="1:17" ht="114" x14ac:dyDescent="0.2">
      <c r="A38" s="37" t="s">
        <v>24</v>
      </c>
      <c r="B38" s="38" t="s">
        <v>109</v>
      </c>
      <c r="C38" s="38" t="s">
        <v>18</v>
      </c>
      <c r="D38" s="39">
        <f>ROUND(SUMIF(RV_DATA!Z6:Z70, -1706615642, RV_DATA!I6:I70), 6)</f>
        <v>25</v>
      </c>
      <c r="Q38">
        <v>3</v>
      </c>
    </row>
    <row r="39" spans="1:17" ht="14.25" x14ac:dyDescent="0.2">
      <c r="A39" s="37" t="s">
        <v>24</v>
      </c>
      <c r="B39" s="38" t="s">
        <v>112</v>
      </c>
      <c r="C39" s="38" t="s">
        <v>18</v>
      </c>
      <c r="D39" s="39">
        <f>ROUND(SUMIF(RV_DATA!Z6:Z70, -584541272, RV_DATA!I6:I70), 6)</f>
        <v>100</v>
      </c>
      <c r="Q39">
        <v>3</v>
      </c>
    </row>
    <row r="40" spans="1:17" ht="71.25" x14ac:dyDescent="0.2">
      <c r="A40" s="37" t="s">
        <v>24</v>
      </c>
      <c r="B40" s="38" t="s">
        <v>119</v>
      </c>
      <c r="C40" s="38" t="s">
        <v>59</v>
      </c>
      <c r="D40" s="39">
        <f>ROUND(SUMIF(RV_DATA!Z6:Z70, -1984333979, RV_DATA!I6:I70), 6)</f>
        <v>18</v>
      </c>
      <c r="Q40">
        <v>3</v>
      </c>
    </row>
    <row r="41" spans="1:17" ht="42.75" x14ac:dyDescent="0.2">
      <c r="A41" s="37" t="s">
        <v>24</v>
      </c>
      <c r="B41" s="38" t="s">
        <v>124</v>
      </c>
      <c r="C41" s="38"/>
      <c r="D41" s="39">
        <f>ROUND(SUMIF(RV_DATA!Z6:Z70, -630770242, RV_DATA!I6:I70), 6)</f>
        <v>14</v>
      </c>
      <c r="Q41">
        <v>3</v>
      </c>
    </row>
    <row r="42" spans="1:17" ht="28.5" x14ac:dyDescent="0.2">
      <c r="A42" s="37" t="s">
        <v>24</v>
      </c>
      <c r="B42" s="38" t="s">
        <v>129</v>
      </c>
      <c r="C42" s="38" t="s">
        <v>18</v>
      </c>
      <c r="D42" s="39">
        <f>ROUND(SUMIF(RV_DATA!Z6:Z70, -1367185952, RV_DATA!I6:I70), 6)</f>
        <v>80</v>
      </c>
      <c r="Q42">
        <v>3</v>
      </c>
    </row>
    <row r="43" spans="1:17" ht="57" x14ac:dyDescent="0.2">
      <c r="A43" s="37" t="s">
        <v>24</v>
      </c>
      <c r="B43" s="38" t="s">
        <v>157</v>
      </c>
      <c r="C43" s="38" t="s">
        <v>18</v>
      </c>
      <c r="D43" s="39">
        <f>ROUND(SUMIF(RV_DATA!Z6:Z70, 95767706, RV_DATA!I6:I70), 6)</f>
        <v>16</v>
      </c>
      <c r="Q43">
        <v>3</v>
      </c>
    </row>
    <row r="44" spans="1:17" ht="42.75" x14ac:dyDescent="0.2">
      <c r="A44" s="37" t="s">
        <v>24</v>
      </c>
      <c r="B44" s="38" t="s">
        <v>166</v>
      </c>
      <c r="C44" s="38" t="s">
        <v>18</v>
      </c>
      <c r="D44" s="39">
        <f>ROUND(SUMIF(RV_DATA!Z6:Z70, 1523191370, RV_DATA!I6:I70), 6)</f>
        <v>11</v>
      </c>
      <c r="Q44">
        <v>3</v>
      </c>
    </row>
    <row r="45" spans="1:17" ht="28.5" x14ac:dyDescent="0.2">
      <c r="A45" s="37" t="s">
        <v>24</v>
      </c>
      <c r="B45" s="38" t="s">
        <v>175</v>
      </c>
      <c r="C45" s="38" t="s">
        <v>18</v>
      </c>
      <c r="D45" s="39">
        <f>ROUND(SUMIF(RV_DATA!Z6:Z70, -378601777, RV_DATA!I6:I70), 6)</f>
        <v>65</v>
      </c>
      <c r="Q45">
        <v>3</v>
      </c>
    </row>
    <row r="46" spans="1:17" ht="28.5" x14ac:dyDescent="0.2">
      <c r="A46" s="37" t="s">
        <v>24</v>
      </c>
      <c r="B46" s="38" t="s">
        <v>179</v>
      </c>
      <c r="C46" s="38" t="s">
        <v>18</v>
      </c>
      <c r="D46" s="39">
        <f>ROUND(SUMIF(RV_DATA!Z6:Z70, 1546664729, RV_DATA!I6:I70), 6)</f>
        <v>8</v>
      </c>
      <c r="Q46">
        <v>3</v>
      </c>
    </row>
    <row r="47" spans="1:17" ht="28.5" x14ac:dyDescent="0.2">
      <c r="A47" s="37" t="s">
        <v>24</v>
      </c>
      <c r="B47" s="38" t="s">
        <v>183</v>
      </c>
      <c r="C47" s="38" t="s">
        <v>59</v>
      </c>
      <c r="D47" s="39">
        <f>ROUND(SUMIF(RV_DATA!Z6:Z70, 858739744, RV_DATA!I6:I70), 6)</f>
        <v>3</v>
      </c>
      <c r="Q47">
        <v>3</v>
      </c>
    </row>
    <row r="48" spans="1:17" ht="14.25" x14ac:dyDescent="0.2">
      <c r="A48" s="37" t="s">
        <v>24</v>
      </c>
      <c r="B48" s="38" t="s">
        <v>245</v>
      </c>
      <c r="C48" s="38" t="s">
        <v>18</v>
      </c>
      <c r="D48" s="39">
        <f>ROUND(SUMIF(RV_DATA!Z6:Z70, 1286138718, RV_DATA!I6:I70), 6)</f>
        <v>1</v>
      </c>
      <c r="Q48">
        <v>3</v>
      </c>
    </row>
    <row r="49" spans="1:17" ht="114" x14ac:dyDescent="0.2">
      <c r="A49" s="37" t="s">
        <v>24</v>
      </c>
      <c r="B49" s="38" t="s">
        <v>320</v>
      </c>
      <c r="C49" s="38" t="s">
        <v>154</v>
      </c>
      <c r="D49" s="39">
        <f>ROUND(SUMIF(RV_DATA!Z6:Z70, 801724823, RV_DATA!I6:I70), 6)</f>
        <v>1</v>
      </c>
      <c r="Q49">
        <v>3</v>
      </c>
    </row>
    <row r="50" spans="1:17" ht="114" x14ac:dyDescent="0.2">
      <c r="A50" s="37" t="s">
        <v>24</v>
      </c>
      <c r="B50" s="38" t="s">
        <v>321</v>
      </c>
      <c r="C50" s="38" t="s">
        <v>154</v>
      </c>
      <c r="D50" s="39">
        <f>ROUND(SUMIF(RV_DATA!Z6:Z70, -1625132343, RV_DATA!I6:I70), 6)</f>
        <v>1</v>
      </c>
      <c r="Q50">
        <v>3</v>
      </c>
    </row>
    <row r="51" spans="1:17" ht="85.5" x14ac:dyDescent="0.2">
      <c r="A51" s="37" t="s">
        <v>24</v>
      </c>
      <c r="B51" s="38" t="s">
        <v>252</v>
      </c>
      <c r="C51" s="38" t="s">
        <v>154</v>
      </c>
      <c r="D51" s="39">
        <f>ROUND(SUMIF(RV_DATA!Z6:Z70, -2042942662, RV_DATA!I6:I70), 6)</f>
        <v>1</v>
      </c>
      <c r="Q51">
        <v>3</v>
      </c>
    </row>
    <row r="52" spans="1:17" ht="114" x14ac:dyDescent="0.2">
      <c r="A52" s="37" t="s">
        <v>24</v>
      </c>
      <c r="B52" s="38" t="s">
        <v>254</v>
      </c>
      <c r="C52" s="38" t="s">
        <v>154</v>
      </c>
      <c r="D52" s="39">
        <f>ROUND(SUMIF(RV_DATA!Z6:Z70, -557937021, RV_DATA!I6:I70), 6)</f>
        <v>1</v>
      </c>
      <c r="Q52">
        <v>3</v>
      </c>
    </row>
    <row r="53" spans="1:17" ht="156.75" x14ac:dyDescent="0.2">
      <c r="A53" s="37" t="s">
        <v>24</v>
      </c>
      <c r="B53" s="38" t="s">
        <v>322</v>
      </c>
      <c r="C53" s="38" t="s">
        <v>154</v>
      </c>
      <c r="D53" s="39">
        <f>ROUND(SUMIF(RV_DATA!Z6:Z70, 357705870, RV_DATA!I6:I70), 6)</f>
        <v>1</v>
      </c>
      <c r="Q53">
        <v>3</v>
      </c>
    </row>
    <row r="54" spans="1:17" ht="156.75" x14ac:dyDescent="0.2">
      <c r="A54" s="37" t="s">
        <v>24</v>
      </c>
      <c r="B54" s="38" t="s">
        <v>323</v>
      </c>
      <c r="C54" s="38" t="s">
        <v>154</v>
      </c>
      <c r="D54" s="39">
        <f>ROUND(SUMIF(RV_DATA!Z6:Z70, -630559716, RV_DATA!I6:I70), 6)</f>
        <v>1</v>
      </c>
      <c r="Q54">
        <v>3</v>
      </c>
    </row>
    <row r="55" spans="1:17" ht="156.75" x14ac:dyDescent="0.2">
      <c r="A55" s="37" t="s">
        <v>24</v>
      </c>
      <c r="B55" s="38" t="s">
        <v>324</v>
      </c>
      <c r="C55" s="38" t="s">
        <v>154</v>
      </c>
      <c r="D55" s="39">
        <f>ROUND(SUMIF(RV_DATA!Z6:Z70, 398826196, RV_DATA!I6:I70), 6)</f>
        <v>1</v>
      </c>
      <c r="Q55">
        <v>3</v>
      </c>
    </row>
    <row r="56" spans="1:17" ht="71.25" x14ac:dyDescent="0.2">
      <c r="A56" s="37" t="s">
        <v>24</v>
      </c>
      <c r="B56" s="38" t="s">
        <v>259</v>
      </c>
      <c r="C56" s="38" t="s">
        <v>154</v>
      </c>
      <c r="D56" s="39">
        <f>ROUND(SUMIF(RV_DATA!Z6:Z70, -1668232077, RV_DATA!I6:I70), 6)</f>
        <v>1</v>
      </c>
      <c r="Q56">
        <v>3</v>
      </c>
    </row>
  </sheetData>
  <sortState ref="A7:Q56">
    <sortCondition ref="A7"/>
  </sortState>
  <mergeCells count="3">
    <mergeCell ref="A2:D2"/>
    <mergeCell ref="A3:D3"/>
    <mergeCell ref="A6:D6"/>
  </mergeCells>
  <pageMargins left="0.6" right="0.4" top="0.65" bottom="0.4" header="0.4" footer="0.4"/>
  <pageSetup paperSize="9" fitToHeight="0" orientation="portrait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EE3CF-2E66-4C0F-A14D-83597551961F}">
  <dimension ref="A1:IK304"/>
  <sheetViews>
    <sheetView workbookViewId="0">
      <selection activeCell="I12" sqref="I12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x14ac:dyDescent="0.2">
      <c r="A12" s="1">
        <v>1</v>
      </c>
      <c r="B12" s="1">
        <v>300</v>
      </c>
      <c r="C12" s="1">
        <v>0</v>
      </c>
      <c r="D12" s="1">
        <f>ROW(A264)</f>
        <v>264</v>
      </c>
      <c r="E12" s="1">
        <v>0</v>
      </c>
      <c r="F12" s="1" t="s">
        <v>4</v>
      </c>
      <c r="G12" s="1" t="s">
        <v>452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B264</f>
        <v>300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Выполнение комплекса работ по изготовлению и монтажу декоративных элементов тюбинговой горки</v>
      </c>
      <c r="H18" s="2"/>
      <c r="I18" s="2"/>
      <c r="J18" s="2"/>
      <c r="K18" s="2"/>
      <c r="L18" s="2"/>
      <c r="M18" s="2"/>
      <c r="N18" s="2"/>
      <c r="O18" s="2">
        <f t="shared" ref="O18:AT18" si="1">O264</f>
        <v>21287297.41</v>
      </c>
      <c r="P18" s="2">
        <f t="shared" si="1"/>
        <v>20041093.579999998</v>
      </c>
      <c r="Q18" s="2">
        <f t="shared" si="1"/>
        <v>359742.61</v>
      </c>
      <c r="R18" s="2">
        <f t="shared" si="1"/>
        <v>174744.13</v>
      </c>
      <c r="S18" s="2">
        <f t="shared" si="1"/>
        <v>886461.22</v>
      </c>
      <c r="T18" s="2">
        <f t="shared" si="1"/>
        <v>0</v>
      </c>
      <c r="U18" s="2">
        <f t="shared" si="1"/>
        <v>1474.6689999999999</v>
      </c>
      <c r="V18" s="2">
        <f t="shared" si="1"/>
        <v>0</v>
      </c>
      <c r="W18" s="2">
        <f t="shared" si="1"/>
        <v>0</v>
      </c>
      <c r="X18" s="2">
        <f t="shared" si="1"/>
        <v>620522.86</v>
      </c>
      <c r="Y18" s="2">
        <f t="shared" si="1"/>
        <v>88646.12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22185190.059999999</v>
      </c>
      <c r="AS18" s="2">
        <f t="shared" si="1"/>
        <v>14027181.33</v>
      </c>
      <c r="AT18" s="2">
        <f t="shared" si="1"/>
        <v>0</v>
      </c>
      <c r="AU18" s="2">
        <f t="shared" ref="AU18:BZ18" si="2">AU264</f>
        <v>8158008.7300000004</v>
      </c>
      <c r="AV18" s="2">
        <f t="shared" si="2"/>
        <v>20041093.579999998</v>
      </c>
      <c r="AW18" s="2">
        <f t="shared" si="2"/>
        <v>20041093.579999998</v>
      </c>
      <c r="AX18" s="2">
        <f t="shared" si="2"/>
        <v>0</v>
      </c>
      <c r="AY18" s="2">
        <f t="shared" si="2"/>
        <v>20041093.579999998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CA264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DG264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EM264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FS264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ROW(A116)</f>
        <v>116</v>
      </c>
      <c r="E20" s="1"/>
      <c r="F20" s="1" t="s">
        <v>12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B116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O116</f>
        <v>7260116.0800000001</v>
      </c>
      <c r="P22" s="2">
        <f t="shared" si="8"/>
        <v>6013912.25</v>
      </c>
      <c r="Q22" s="2">
        <f t="shared" si="8"/>
        <v>359742.61</v>
      </c>
      <c r="R22" s="2">
        <f t="shared" si="8"/>
        <v>174744.13</v>
      </c>
      <c r="S22" s="2">
        <f t="shared" si="8"/>
        <v>886461.22</v>
      </c>
      <c r="T22" s="2">
        <f t="shared" si="8"/>
        <v>0</v>
      </c>
      <c r="U22" s="2">
        <f t="shared" si="8"/>
        <v>1474.6689999999999</v>
      </c>
      <c r="V22" s="2">
        <f t="shared" si="8"/>
        <v>0</v>
      </c>
      <c r="W22" s="2">
        <f t="shared" si="8"/>
        <v>0</v>
      </c>
      <c r="X22" s="2">
        <f t="shared" si="8"/>
        <v>620522.86</v>
      </c>
      <c r="Y22" s="2">
        <f t="shared" si="8"/>
        <v>88646.12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8158008.7300000004</v>
      </c>
      <c r="AS22" s="2">
        <f t="shared" si="8"/>
        <v>0</v>
      </c>
      <c r="AT22" s="2">
        <f t="shared" si="8"/>
        <v>0</v>
      </c>
      <c r="AU22" s="2">
        <f t="shared" ref="AU22:BZ22" si="9">AU116</f>
        <v>8158008.7300000004</v>
      </c>
      <c r="AV22" s="2">
        <f t="shared" si="9"/>
        <v>6013912.25</v>
      </c>
      <c r="AW22" s="2">
        <f t="shared" si="9"/>
        <v>6013912.25</v>
      </c>
      <c r="AX22" s="2">
        <f t="shared" si="9"/>
        <v>0</v>
      </c>
      <c r="AY22" s="2">
        <f t="shared" si="9"/>
        <v>6013912.25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CA116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DG116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EM116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FS116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ROW(A86)</f>
        <v>86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B86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Электромонтажные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O86</f>
        <v>7260116.0800000001</v>
      </c>
      <c r="P26" s="2">
        <f t="shared" si="15"/>
        <v>6013912.25</v>
      </c>
      <c r="Q26" s="2">
        <f t="shared" si="15"/>
        <v>359742.61</v>
      </c>
      <c r="R26" s="2">
        <f t="shared" si="15"/>
        <v>174744.13</v>
      </c>
      <c r="S26" s="2">
        <f t="shared" si="15"/>
        <v>886461.22</v>
      </c>
      <c r="T26" s="2">
        <f t="shared" si="15"/>
        <v>0</v>
      </c>
      <c r="U26" s="2">
        <f t="shared" si="15"/>
        <v>1474.6689999999999</v>
      </c>
      <c r="V26" s="2">
        <f t="shared" si="15"/>
        <v>0</v>
      </c>
      <c r="W26" s="2">
        <f t="shared" si="15"/>
        <v>0</v>
      </c>
      <c r="X26" s="2">
        <f t="shared" si="15"/>
        <v>620522.86</v>
      </c>
      <c r="Y26" s="2">
        <f t="shared" si="15"/>
        <v>88646.12</v>
      </c>
      <c r="Z26" s="2">
        <f t="shared" si="15"/>
        <v>0</v>
      </c>
      <c r="AA26" s="2">
        <f t="shared" si="15"/>
        <v>0</v>
      </c>
      <c r="AB26" s="2">
        <f t="shared" si="15"/>
        <v>7260116.0800000001</v>
      </c>
      <c r="AC26" s="2">
        <f t="shared" si="15"/>
        <v>6013912.25</v>
      </c>
      <c r="AD26" s="2">
        <f t="shared" si="15"/>
        <v>359742.61</v>
      </c>
      <c r="AE26" s="2">
        <f t="shared" si="15"/>
        <v>174744.13</v>
      </c>
      <c r="AF26" s="2">
        <f t="shared" si="15"/>
        <v>886461.22</v>
      </c>
      <c r="AG26" s="2">
        <f t="shared" si="15"/>
        <v>0</v>
      </c>
      <c r="AH26" s="2">
        <f t="shared" si="15"/>
        <v>1474.6689999999999</v>
      </c>
      <c r="AI26" s="2">
        <f t="shared" si="15"/>
        <v>0</v>
      </c>
      <c r="AJ26" s="2">
        <f t="shared" si="15"/>
        <v>0</v>
      </c>
      <c r="AK26" s="2">
        <f t="shared" si="15"/>
        <v>620522.86</v>
      </c>
      <c r="AL26" s="2">
        <f t="shared" si="15"/>
        <v>88646.12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8158008.7300000004</v>
      </c>
      <c r="AS26" s="2">
        <f t="shared" si="15"/>
        <v>0</v>
      </c>
      <c r="AT26" s="2">
        <f t="shared" si="15"/>
        <v>0</v>
      </c>
      <c r="AU26" s="2">
        <f t="shared" ref="AU26:BZ26" si="16">AU86</f>
        <v>8158008.7300000004</v>
      </c>
      <c r="AV26" s="2">
        <f t="shared" si="16"/>
        <v>6013912.25</v>
      </c>
      <c r="AW26" s="2">
        <f t="shared" si="16"/>
        <v>6013912.25</v>
      </c>
      <c r="AX26" s="2">
        <f t="shared" si="16"/>
        <v>0</v>
      </c>
      <c r="AY26" s="2">
        <f t="shared" si="16"/>
        <v>6013912.25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CA86</f>
        <v>8158008.7300000004</v>
      </c>
      <c r="CB26" s="2">
        <f t="shared" si="17"/>
        <v>0</v>
      </c>
      <c r="CC26" s="2">
        <f t="shared" si="17"/>
        <v>0</v>
      </c>
      <c r="CD26" s="2">
        <f t="shared" si="17"/>
        <v>8158008.7300000004</v>
      </c>
      <c r="CE26" s="2">
        <f t="shared" si="17"/>
        <v>6013912.25</v>
      </c>
      <c r="CF26" s="2">
        <f t="shared" si="17"/>
        <v>6013912.25</v>
      </c>
      <c r="CG26" s="2">
        <f t="shared" si="17"/>
        <v>0</v>
      </c>
      <c r="CH26" s="2">
        <f t="shared" si="17"/>
        <v>6013912.25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DG86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EM86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FS86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ROW(SmtRes!A3)</f>
        <v>3</v>
      </c>
      <c r="D28">
        <f>ROW(EtalonRes!A2)</f>
        <v>2</v>
      </c>
      <c r="E28" t="s">
        <v>15</v>
      </c>
      <c r="F28" t="s">
        <v>16</v>
      </c>
      <c r="G28" t="s">
        <v>17</v>
      </c>
      <c r="H28" t="s">
        <v>18</v>
      </c>
      <c r="I28">
        <v>3</v>
      </c>
      <c r="J28">
        <v>0</v>
      </c>
      <c r="K28">
        <v>3</v>
      </c>
      <c r="O28">
        <f t="shared" ref="O28:O59" si="21">ROUND(CP28,2)</f>
        <v>5607.03</v>
      </c>
      <c r="P28">
        <f t="shared" ref="P28:P59" si="22">ROUND(CQ28*I28,2)</f>
        <v>0</v>
      </c>
      <c r="Q28">
        <f t="shared" ref="Q28:Q59" si="23">ROUND(CR28*I28,2)</f>
        <v>1085.6400000000001</v>
      </c>
      <c r="R28">
        <f t="shared" ref="R28:R59" si="24">ROUND(CS28*I28,2)</f>
        <v>3.36</v>
      </c>
      <c r="S28">
        <f t="shared" ref="S28:S59" si="25">ROUND(CT28*I28,2)</f>
        <v>4521.3900000000003</v>
      </c>
      <c r="T28">
        <f t="shared" ref="T28:T59" si="26">ROUND(CU28*I28,2)</f>
        <v>0</v>
      </c>
      <c r="U28">
        <f t="shared" ref="U28:U59" si="27">CV28*I28</f>
        <v>7.11</v>
      </c>
      <c r="V28">
        <f t="shared" ref="V28:V59" si="28">CW28*I28</f>
        <v>0</v>
      </c>
      <c r="W28">
        <f t="shared" ref="W28:W59" si="29">ROUND(CX28*I28,2)</f>
        <v>0</v>
      </c>
      <c r="X28">
        <f t="shared" ref="X28:X59" si="30">ROUND(CY28,2)</f>
        <v>3164.97</v>
      </c>
      <c r="Y28">
        <f t="shared" ref="Y28:Y59" si="31">ROUND(CZ28,2)</f>
        <v>452.14</v>
      </c>
      <c r="AA28">
        <v>81141517</v>
      </c>
      <c r="AB28">
        <f t="shared" ref="AB28:AB59" si="32">ROUND((AC28+AD28+AF28),6)</f>
        <v>1869.01</v>
      </c>
      <c r="AC28">
        <f t="shared" ref="AC28:AC59" si="33">ROUND((ES28),6)</f>
        <v>0</v>
      </c>
      <c r="AD28">
        <f t="shared" ref="AD28:AD59" si="34">ROUND((((ET28)-(EU28))+AE28),6)</f>
        <v>361.88</v>
      </c>
      <c r="AE28">
        <f t="shared" ref="AE28:AE59" si="35">ROUND((EU28),6)</f>
        <v>1.1200000000000001</v>
      </c>
      <c r="AF28">
        <f t="shared" ref="AF28:AF59" si="36">ROUND((EV28),6)</f>
        <v>1507.13</v>
      </c>
      <c r="AG28">
        <f t="shared" ref="AG28:AG59" si="37">ROUND((AP28),6)</f>
        <v>0</v>
      </c>
      <c r="AH28">
        <f t="shared" ref="AH28:AH59" si="38">(EW28)</f>
        <v>2.37</v>
      </c>
      <c r="AI28">
        <f t="shared" ref="AI28:AI59" si="39">(EX28)</f>
        <v>0</v>
      </c>
      <c r="AJ28">
        <f t="shared" ref="AJ28:AJ59" si="40">(AS28)</f>
        <v>0</v>
      </c>
      <c r="AK28">
        <v>1869.01</v>
      </c>
      <c r="AL28">
        <v>0</v>
      </c>
      <c r="AM28">
        <v>361.88</v>
      </c>
      <c r="AN28">
        <v>1.1200000000000001</v>
      </c>
      <c r="AO28">
        <v>1507.13</v>
      </c>
      <c r="AP28">
        <v>0</v>
      </c>
      <c r="AQ28">
        <v>2.37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19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59" si="41">(P28+Q28+S28)</f>
        <v>5607.0300000000007</v>
      </c>
      <c r="CQ28">
        <f t="shared" ref="CQ28:CQ59" si="42">(AC28*BC28*AW28)</f>
        <v>0</v>
      </c>
      <c r="CR28">
        <f t="shared" ref="CR28:CR59" si="43">((((ET28)*BB28-(EU28)*BS28)+AE28*BS28)*AV28)</f>
        <v>361.88</v>
      </c>
      <c r="CS28">
        <f t="shared" ref="CS28:CS59" si="44">(AE28*BS28*AV28)</f>
        <v>1.1200000000000001</v>
      </c>
      <c r="CT28">
        <f t="shared" ref="CT28:CT59" si="45">(AF28*BA28*AV28)</f>
        <v>1507.13</v>
      </c>
      <c r="CU28">
        <f t="shared" ref="CU28:CU59" si="46">AG28</f>
        <v>0</v>
      </c>
      <c r="CV28">
        <f t="shared" ref="CV28:CV59" si="47">(AH28*AV28)</f>
        <v>2.37</v>
      </c>
      <c r="CW28">
        <f t="shared" ref="CW28:CW59" si="48">AI28</f>
        <v>0</v>
      </c>
      <c r="CX28">
        <f t="shared" ref="CX28:CX59" si="49">AJ28</f>
        <v>0</v>
      </c>
      <c r="CY28">
        <f t="shared" ref="CY28:CY59" si="50">((S28*BZ28)/100)</f>
        <v>3164.9730000000004</v>
      </c>
      <c r="CZ28">
        <f t="shared" ref="CZ28:CZ59" si="51">((S28*CA28)/100)</f>
        <v>452.13900000000001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1010</v>
      </c>
      <c r="DV28" t="s">
        <v>18</v>
      </c>
      <c r="DW28" t="s">
        <v>18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80196140</v>
      </c>
      <c r="EF28">
        <v>1</v>
      </c>
      <c r="EG28" t="s">
        <v>20</v>
      </c>
      <c r="EH28">
        <v>0</v>
      </c>
      <c r="EI28" t="s">
        <v>3</v>
      </c>
      <c r="EJ28">
        <v>4</v>
      </c>
      <c r="EK28">
        <v>0</v>
      </c>
      <c r="EL28" t="s">
        <v>21</v>
      </c>
      <c r="EM28" t="s">
        <v>22</v>
      </c>
      <c r="EO28" t="s">
        <v>3</v>
      </c>
      <c r="EQ28">
        <v>0</v>
      </c>
      <c r="ER28">
        <v>1869.01</v>
      </c>
      <c r="ES28">
        <v>0</v>
      </c>
      <c r="ET28">
        <v>361.88</v>
      </c>
      <c r="EU28">
        <v>1.1200000000000001</v>
      </c>
      <c r="EV28">
        <v>1507.13</v>
      </c>
      <c r="EW28">
        <v>2.37</v>
      </c>
      <c r="EX28">
        <v>0</v>
      </c>
      <c r="EY28">
        <v>0</v>
      </c>
      <c r="FQ28">
        <v>0</v>
      </c>
      <c r="FR28"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1094451298</v>
      </c>
      <c r="GG28">
        <v>2</v>
      </c>
      <c r="GH28">
        <v>1</v>
      </c>
      <c r="GI28">
        <v>-2</v>
      </c>
      <c r="GJ28">
        <v>0</v>
      </c>
      <c r="GK28">
        <f>ROUND(R28*(R12)/100,2)</f>
        <v>3.63</v>
      </c>
      <c r="GL28">
        <f t="shared" ref="GL28:GL59" si="52">ROUND(IF(AND(BH28=3,BI28=3,FS28&lt;&gt;0),P28,0),2)</f>
        <v>0</v>
      </c>
      <c r="GM28">
        <f t="shared" ref="GM28:GM59" si="53">ROUND(O28+X28+Y28+GK28,2)+GX28</f>
        <v>9227.77</v>
      </c>
      <c r="GN28">
        <f t="shared" ref="GN28:GN59" si="54">IF(OR(BI28=0,BI28=1),GM28-GX28,0)</f>
        <v>0</v>
      </c>
      <c r="GO28">
        <f t="shared" ref="GO28:GO59" si="55">IF(BI28=2,GM28-GX28,0)</f>
        <v>0</v>
      </c>
      <c r="GP28">
        <f t="shared" ref="GP28:GP59" si="56">IF(BI28=4,GM28-GX28,0)</f>
        <v>9227.77</v>
      </c>
      <c r="GR28">
        <v>0</v>
      </c>
      <c r="GS28">
        <v>3</v>
      </c>
      <c r="GT28">
        <v>0</v>
      </c>
      <c r="GU28" t="s">
        <v>3</v>
      </c>
      <c r="GV28">
        <f t="shared" ref="GV28:GV59" si="57">ROUND((GT28),6)</f>
        <v>0</v>
      </c>
      <c r="GW28">
        <v>1</v>
      </c>
      <c r="GX28">
        <f t="shared" ref="GX28:GX59" si="58">ROUND(HC28*I28,2)</f>
        <v>0</v>
      </c>
      <c r="HA28">
        <v>0</v>
      </c>
      <c r="HB28">
        <v>0</v>
      </c>
      <c r="HC28">
        <f t="shared" ref="HC28:HC59" si="59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HS28">
        <v>0</v>
      </c>
      <c r="IK28">
        <v>0</v>
      </c>
    </row>
    <row r="29" spans="1:245" x14ac:dyDescent="0.2">
      <c r="A29">
        <v>18</v>
      </c>
      <c r="B29">
        <v>1</v>
      </c>
      <c r="C29">
        <v>3</v>
      </c>
      <c r="E29" t="s">
        <v>23</v>
      </c>
      <c r="F29" t="s">
        <v>24</v>
      </c>
      <c r="G29" t="s">
        <v>25</v>
      </c>
      <c r="H29" t="s">
        <v>18</v>
      </c>
      <c r="I29">
        <f>I28*J29</f>
        <v>3</v>
      </c>
      <c r="J29">
        <v>1</v>
      </c>
      <c r="K29">
        <v>1</v>
      </c>
      <c r="O29">
        <f t="shared" si="21"/>
        <v>134940.24</v>
      </c>
      <c r="P29">
        <f t="shared" si="22"/>
        <v>134940.24</v>
      </c>
      <c r="Q29">
        <f t="shared" si="23"/>
        <v>0</v>
      </c>
      <c r="R29">
        <f t="shared" si="24"/>
        <v>0</v>
      </c>
      <c r="S29">
        <f t="shared" si="25"/>
        <v>0</v>
      </c>
      <c r="T29">
        <f t="shared" si="26"/>
        <v>0</v>
      </c>
      <c r="U29">
        <f t="shared" si="27"/>
        <v>0</v>
      </c>
      <c r="V29">
        <f t="shared" si="28"/>
        <v>0</v>
      </c>
      <c r="W29">
        <f t="shared" si="29"/>
        <v>0</v>
      </c>
      <c r="X29">
        <f t="shared" si="30"/>
        <v>0</v>
      </c>
      <c r="Y29">
        <f t="shared" si="31"/>
        <v>0</v>
      </c>
      <c r="AA29">
        <v>81141517</v>
      </c>
      <c r="AB29">
        <f t="shared" si="32"/>
        <v>44980.08</v>
      </c>
      <c r="AC29">
        <f t="shared" si="33"/>
        <v>44980.08</v>
      </c>
      <c r="AD29">
        <f t="shared" si="34"/>
        <v>0</v>
      </c>
      <c r="AE29">
        <f t="shared" si="35"/>
        <v>0</v>
      </c>
      <c r="AF29">
        <f t="shared" si="36"/>
        <v>0</v>
      </c>
      <c r="AG29">
        <f t="shared" si="37"/>
        <v>0</v>
      </c>
      <c r="AH29">
        <f t="shared" si="38"/>
        <v>0</v>
      </c>
      <c r="AI29">
        <f t="shared" si="39"/>
        <v>0</v>
      </c>
      <c r="AJ29">
        <f t="shared" si="40"/>
        <v>0</v>
      </c>
      <c r="AK29">
        <v>44980.08</v>
      </c>
      <c r="AL29">
        <v>44980.08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3</v>
      </c>
      <c r="BI29">
        <v>4</v>
      </c>
      <c r="BJ29" t="s">
        <v>3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41"/>
        <v>134940.24</v>
      </c>
      <c r="CQ29">
        <f t="shared" si="42"/>
        <v>44980.08</v>
      </c>
      <c r="CR29">
        <f t="shared" si="43"/>
        <v>0</v>
      </c>
      <c r="CS29">
        <f t="shared" si="44"/>
        <v>0</v>
      </c>
      <c r="CT29">
        <f t="shared" si="45"/>
        <v>0</v>
      </c>
      <c r="CU29">
        <f t="shared" si="46"/>
        <v>0</v>
      </c>
      <c r="CV29">
        <f t="shared" si="47"/>
        <v>0</v>
      </c>
      <c r="CW29">
        <f t="shared" si="48"/>
        <v>0</v>
      </c>
      <c r="CX29">
        <f t="shared" si="49"/>
        <v>0</v>
      </c>
      <c r="CY29">
        <f t="shared" si="50"/>
        <v>0</v>
      </c>
      <c r="CZ29">
        <f t="shared" si="51"/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1010</v>
      </c>
      <c r="DV29" t="s">
        <v>18</v>
      </c>
      <c r="DW29" t="s">
        <v>18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80196140</v>
      </c>
      <c r="EF29">
        <v>1</v>
      </c>
      <c r="EG29" t="s">
        <v>20</v>
      </c>
      <c r="EH29">
        <v>0</v>
      </c>
      <c r="EI29" t="s">
        <v>3</v>
      </c>
      <c r="EJ29">
        <v>4</v>
      </c>
      <c r="EK29">
        <v>0</v>
      </c>
      <c r="EL29" t="s">
        <v>21</v>
      </c>
      <c r="EM29" t="s">
        <v>22</v>
      </c>
      <c r="EO29" t="s">
        <v>3</v>
      </c>
      <c r="EQ29">
        <v>0</v>
      </c>
      <c r="ER29">
        <v>44980.08</v>
      </c>
      <c r="ES29">
        <v>44980.08</v>
      </c>
      <c r="ET29">
        <v>0</v>
      </c>
      <c r="EU29">
        <v>0</v>
      </c>
      <c r="EV29">
        <v>0</v>
      </c>
      <c r="EW29">
        <v>0</v>
      </c>
      <c r="EX29">
        <v>0</v>
      </c>
      <c r="EZ29">
        <v>5</v>
      </c>
      <c r="FC29">
        <v>1</v>
      </c>
      <c r="FD29">
        <v>18</v>
      </c>
      <c r="FF29">
        <v>53976.1</v>
      </c>
      <c r="FQ29">
        <v>0</v>
      </c>
      <c r="FR29">
        <v>0</v>
      </c>
      <c r="FS29">
        <v>0</v>
      </c>
      <c r="FX29">
        <v>70</v>
      </c>
      <c r="FY29">
        <v>10</v>
      </c>
      <c r="GA29" t="s">
        <v>26</v>
      </c>
      <c r="GD29">
        <v>0</v>
      </c>
      <c r="GF29">
        <v>1652571088</v>
      </c>
      <c r="GG29">
        <v>2</v>
      </c>
      <c r="GH29">
        <v>3</v>
      </c>
      <c r="GI29">
        <v>-2</v>
      </c>
      <c r="GJ29">
        <v>0</v>
      </c>
      <c r="GK29">
        <f>ROUND(R29*(R12)/100,2)</f>
        <v>0</v>
      </c>
      <c r="GL29">
        <f t="shared" si="52"/>
        <v>0</v>
      </c>
      <c r="GM29">
        <f t="shared" si="53"/>
        <v>134940.24</v>
      </c>
      <c r="GN29">
        <f t="shared" si="54"/>
        <v>0</v>
      </c>
      <c r="GO29">
        <f t="shared" si="55"/>
        <v>0</v>
      </c>
      <c r="GP29">
        <f t="shared" si="56"/>
        <v>134940.24</v>
      </c>
      <c r="GR29">
        <v>1</v>
      </c>
      <c r="GS29">
        <v>1</v>
      </c>
      <c r="GT29">
        <v>0</v>
      </c>
      <c r="GU29" t="s">
        <v>3</v>
      </c>
      <c r="GV29">
        <f t="shared" si="57"/>
        <v>0</v>
      </c>
      <c r="GW29">
        <v>1</v>
      </c>
      <c r="GX29">
        <f t="shared" si="58"/>
        <v>0</v>
      </c>
      <c r="HA29">
        <v>0</v>
      </c>
      <c r="HB29">
        <v>0</v>
      </c>
      <c r="HC29">
        <f t="shared" si="59"/>
        <v>0</v>
      </c>
      <c r="HE29" t="s">
        <v>27</v>
      </c>
      <c r="HF29" t="s">
        <v>27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HS29">
        <v>0</v>
      </c>
      <c r="IK29">
        <v>0</v>
      </c>
    </row>
    <row r="30" spans="1:245" x14ac:dyDescent="0.2">
      <c r="A30">
        <v>17</v>
      </c>
      <c r="B30">
        <v>1</v>
      </c>
      <c r="C30">
        <f>ROW(SmtRes!A9)</f>
        <v>9</v>
      </c>
      <c r="D30">
        <f>ROW(EtalonRes!A3)</f>
        <v>3</v>
      </c>
      <c r="E30" t="s">
        <v>28</v>
      </c>
      <c r="F30" t="s">
        <v>29</v>
      </c>
      <c r="G30" t="s">
        <v>30</v>
      </c>
      <c r="H30" t="s">
        <v>18</v>
      </c>
      <c r="I30">
        <v>39</v>
      </c>
      <c r="J30">
        <v>0</v>
      </c>
      <c r="K30">
        <v>39</v>
      </c>
      <c r="O30">
        <f t="shared" si="21"/>
        <v>23834.07</v>
      </c>
      <c r="P30">
        <f t="shared" si="22"/>
        <v>0</v>
      </c>
      <c r="Q30">
        <f t="shared" si="23"/>
        <v>0</v>
      </c>
      <c r="R30">
        <f t="shared" si="24"/>
        <v>0</v>
      </c>
      <c r="S30">
        <f t="shared" si="25"/>
        <v>23834.07</v>
      </c>
      <c r="T30">
        <f t="shared" si="26"/>
        <v>0</v>
      </c>
      <c r="U30">
        <f t="shared" si="27"/>
        <v>46.019999999999996</v>
      </c>
      <c r="V30">
        <f t="shared" si="28"/>
        <v>0</v>
      </c>
      <c r="W30">
        <f t="shared" si="29"/>
        <v>0</v>
      </c>
      <c r="X30">
        <f t="shared" si="30"/>
        <v>16683.849999999999</v>
      </c>
      <c r="Y30">
        <f t="shared" si="31"/>
        <v>2383.41</v>
      </c>
      <c r="AA30">
        <v>81141517</v>
      </c>
      <c r="AB30">
        <f t="shared" si="32"/>
        <v>611.13</v>
      </c>
      <c r="AC30">
        <f t="shared" si="33"/>
        <v>0</v>
      </c>
      <c r="AD30">
        <f t="shared" si="34"/>
        <v>0</v>
      </c>
      <c r="AE30">
        <f t="shared" si="35"/>
        <v>0</v>
      </c>
      <c r="AF30">
        <f t="shared" si="36"/>
        <v>611.13</v>
      </c>
      <c r="AG30">
        <f t="shared" si="37"/>
        <v>0</v>
      </c>
      <c r="AH30">
        <f t="shared" si="38"/>
        <v>1.18</v>
      </c>
      <c r="AI30">
        <f t="shared" si="39"/>
        <v>0</v>
      </c>
      <c r="AJ30">
        <f t="shared" si="40"/>
        <v>0</v>
      </c>
      <c r="AK30">
        <v>611.13</v>
      </c>
      <c r="AL30">
        <v>0</v>
      </c>
      <c r="AM30">
        <v>0</v>
      </c>
      <c r="AN30">
        <v>0</v>
      </c>
      <c r="AO30">
        <v>611.13</v>
      </c>
      <c r="AP30">
        <v>0</v>
      </c>
      <c r="AQ30">
        <v>1.18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31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41"/>
        <v>23834.07</v>
      </c>
      <c r="CQ30">
        <f t="shared" si="42"/>
        <v>0</v>
      </c>
      <c r="CR30">
        <f t="shared" si="43"/>
        <v>0</v>
      </c>
      <c r="CS30">
        <f t="shared" si="44"/>
        <v>0</v>
      </c>
      <c r="CT30">
        <f t="shared" si="45"/>
        <v>611.13</v>
      </c>
      <c r="CU30">
        <f t="shared" si="46"/>
        <v>0</v>
      </c>
      <c r="CV30">
        <f t="shared" si="47"/>
        <v>1.18</v>
      </c>
      <c r="CW30">
        <f t="shared" si="48"/>
        <v>0</v>
      </c>
      <c r="CX30">
        <f t="shared" si="49"/>
        <v>0</v>
      </c>
      <c r="CY30">
        <f t="shared" si="50"/>
        <v>16683.848999999998</v>
      </c>
      <c r="CZ30">
        <f t="shared" si="51"/>
        <v>2383.4070000000002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1010</v>
      </c>
      <c r="DV30" t="s">
        <v>18</v>
      </c>
      <c r="DW30" t="s">
        <v>18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80196140</v>
      </c>
      <c r="EF30">
        <v>1</v>
      </c>
      <c r="EG30" t="s">
        <v>20</v>
      </c>
      <c r="EH30">
        <v>0</v>
      </c>
      <c r="EI30" t="s">
        <v>3</v>
      </c>
      <c r="EJ30">
        <v>4</v>
      </c>
      <c r="EK30">
        <v>0</v>
      </c>
      <c r="EL30" t="s">
        <v>21</v>
      </c>
      <c r="EM30" t="s">
        <v>22</v>
      </c>
      <c r="EO30" t="s">
        <v>3</v>
      </c>
      <c r="EQ30">
        <v>0</v>
      </c>
      <c r="ER30">
        <v>611.13</v>
      </c>
      <c r="ES30">
        <v>0</v>
      </c>
      <c r="ET30">
        <v>0</v>
      </c>
      <c r="EU30">
        <v>0</v>
      </c>
      <c r="EV30">
        <v>611.13</v>
      </c>
      <c r="EW30">
        <v>1.18</v>
      </c>
      <c r="EX30">
        <v>0</v>
      </c>
      <c r="EY30">
        <v>0</v>
      </c>
      <c r="FQ30">
        <v>0</v>
      </c>
      <c r="FR30"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-17750316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 t="shared" si="52"/>
        <v>0</v>
      </c>
      <c r="GM30">
        <f t="shared" si="53"/>
        <v>42901.33</v>
      </c>
      <c r="GN30">
        <f t="shared" si="54"/>
        <v>0</v>
      </c>
      <c r="GO30">
        <f t="shared" si="55"/>
        <v>0</v>
      </c>
      <c r="GP30">
        <f t="shared" si="56"/>
        <v>42901.33</v>
      </c>
      <c r="GR30">
        <v>0</v>
      </c>
      <c r="GS30">
        <v>3</v>
      </c>
      <c r="GT30">
        <v>0</v>
      </c>
      <c r="GU30" t="s">
        <v>3</v>
      </c>
      <c r="GV30">
        <f t="shared" si="57"/>
        <v>0</v>
      </c>
      <c r="GW30">
        <v>1</v>
      </c>
      <c r="GX30">
        <f t="shared" si="58"/>
        <v>0</v>
      </c>
      <c r="HA30">
        <v>0</v>
      </c>
      <c r="HB30">
        <v>0</v>
      </c>
      <c r="HC30">
        <f t="shared" si="59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HS30">
        <v>0</v>
      </c>
      <c r="IK30">
        <v>0</v>
      </c>
    </row>
    <row r="31" spans="1:245" x14ac:dyDescent="0.2">
      <c r="A31">
        <v>18</v>
      </c>
      <c r="B31">
        <v>1</v>
      </c>
      <c r="C31">
        <v>5</v>
      </c>
      <c r="E31" t="s">
        <v>32</v>
      </c>
      <c r="F31" t="s">
        <v>24</v>
      </c>
      <c r="G31" t="s">
        <v>33</v>
      </c>
      <c r="H31" t="s">
        <v>18</v>
      </c>
      <c r="I31">
        <f>I30*J31</f>
        <v>3</v>
      </c>
      <c r="J31">
        <v>7.6923076923076927E-2</v>
      </c>
      <c r="K31">
        <v>7.6923080000000005E-2</v>
      </c>
      <c r="O31">
        <f t="shared" si="21"/>
        <v>111299.97</v>
      </c>
      <c r="P31">
        <f t="shared" si="22"/>
        <v>111299.97</v>
      </c>
      <c r="Q31">
        <f t="shared" si="23"/>
        <v>0</v>
      </c>
      <c r="R31">
        <f t="shared" si="24"/>
        <v>0</v>
      </c>
      <c r="S31">
        <f t="shared" si="25"/>
        <v>0</v>
      </c>
      <c r="T31">
        <f t="shared" si="26"/>
        <v>0</v>
      </c>
      <c r="U31">
        <f t="shared" si="27"/>
        <v>0</v>
      </c>
      <c r="V31">
        <f t="shared" si="28"/>
        <v>0</v>
      </c>
      <c r="W31">
        <f t="shared" si="29"/>
        <v>0</v>
      </c>
      <c r="X31">
        <f t="shared" si="30"/>
        <v>0</v>
      </c>
      <c r="Y31">
        <f t="shared" si="31"/>
        <v>0</v>
      </c>
      <c r="AA31">
        <v>81141517</v>
      </c>
      <c r="AB31">
        <f t="shared" si="32"/>
        <v>37099.99</v>
      </c>
      <c r="AC31">
        <f t="shared" si="33"/>
        <v>37099.99</v>
      </c>
      <c r="AD31">
        <f t="shared" si="34"/>
        <v>0</v>
      </c>
      <c r="AE31">
        <f t="shared" si="35"/>
        <v>0</v>
      </c>
      <c r="AF31">
        <f t="shared" si="36"/>
        <v>0</v>
      </c>
      <c r="AG31">
        <f t="shared" si="37"/>
        <v>0</v>
      </c>
      <c r="AH31">
        <f t="shared" si="38"/>
        <v>0</v>
      </c>
      <c r="AI31">
        <f t="shared" si="39"/>
        <v>0</v>
      </c>
      <c r="AJ31">
        <f t="shared" si="40"/>
        <v>0</v>
      </c>
      <c r="AK31">
        <v>37099.99</v>
      </c>
      <c r="AL31">
        <v>37099.99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4</v>
      </c>
      <c r="BJ31" t="s">
        <v>3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41"/>
        <v>111299.97</v>
      </c>
      <c r="CQ31">
        <f t="shared" si="42"/>
        <v>37099.99</v>
      </c>
      <c r="CR31">
        <f t="shared" si="43"/>
        <v>0</v>
      </c>
      <c r="CS31">
        <f t="shared" si="44"/>
        <v>0</v>
      </c>
      <c r="CT31">
        <f t="shared" si="45"/>
        <v>0</v>
      </c>
      <c r="CU31">
        <f t="shared" si="46"/>
        <v>0</v>
      </c>
      <c r="CV31">
        <f t="shared" si="47"/>
        <v>0</v>
      </c>
      <c r="CW31">
        <f t="shared" si="48"/>
        <v>0</v>
      </c>
      <c r="CX31">
        <f t="shared" si="49"/>
        <v>0</v>
      </c>
      <c r="CY31">
        <f t="shared" si="50"/>
        <v>0</v>
      </c>
      <c r="CZ31">
        <f t="shared" si="51"/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1010</v>
      </c>
      <c r="DV31" t="s">
        <v>18</v>
      </c>
      <c r="DW31" t="s">
        <v>18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80196140</v>
      </c>
      <c r="EF31">
        <v>1</v>
      </c>
      <c r="EG31" t="s">
        <v>20</v>
      </c>
      <c r="EH31">
        <v>0</v>
      </c>
      <c r="EI31" t="s">
        <v>3</v>
      </c>
      <c r="EJ31">
        <v>4</v>
      </c>
      <c r="EK31">
        <v>0</v>
      </c>
      <c r="EL31" t="s">
        <v>21</v>
      </c>
      <c r="EM31" t="s">
        <v>22</v>
      </c>
      <c r="EO31" t="s">
        <v>3</v>
      </c>
      <c r="EQ31">
        <v>0</v>
      </c>
      <c r="ER31">
        <v>37099.99</v>
      </c>
      <c r="ES31">
        <v>37099.99</v>
      </c>
      <c r="ET31">
        <v>0</v>
      </c>
      <c r="EU31">
        <v>0</v>
      </c>
      <c r="EV31">
        <v>0</v>
      </c>
      <c r="EW31">
        <v>0</v>
      </c>
      <c r="EX31">
        <v>0</v>
      </c>
      <c r="EZ31">
        <v>5</v>
      </c>
      <c r="FC31">
        <v>1</v>
      </c>
      <c r="FD31">
        <v>18</v>
      </c>
      <c r="FF31">
        <v>44519.99</v>
      </c>
      <c r="FQ31">
        <v>0</v>
      </c>
      <c r="FR31">
        <v>0</v>
      </c>
      <c r="FS31">
        <v>0</v>
      </c>
      <c r="FX31">
        <v>70</v>
      </c>
      <c r="FY31">
        <v>10</v>
      </c>
      <c r="GA31" t="s">
        <v>34</v>
      </c>
      <c r="GD31">
        <v>0</v>
      </c>
      <c r="GF31">
        <v>347318189</v>
      </c>
      <c r="GG31">
        <v>2</v>
      </c>
      <c r="GH31">
        <v>3</v>
      </c>
      <c r="GI31">
        <v>-2</v>
      </c>
      <c r="GJ31">
        <v>0</v>
      </c>
      <c r="GK31">
        <f>ROUND(R31*(R12)/100,2)</f>
        <v>0</v>
      </c>
      <c r="GL31">
        <f t="shared" si="52"/>
        <v>0</v>
      </c>
      <c r="GM31">
        <f t="shared" si="53"/>
        <v>111299.97</v>
      </c>
      <c r="GN31">
        <f t="shared" si="54"/>
        <v>0</v>
      </c>
      <c r="GO31">
        <f t="shared" si="55"/>
        <v>0</v>
      </c>
      <c r="GP31">
        <f t="shared" si="56"/>
        <v>111299.97</v>
      </c>
      <c r="GR31">
        <v>1</v>
      </c>
      <c r="GS31">
        <v>1</v>
      </c>
      <c r="GT31">
        <v>0</v>
      </c>
      <c r="GU31" t="s">
        <v>3</v>
      </c>
      <c r="GV31">
        <f t="shared" si="57"/>
        <v>0</v>
      </c>
      <c r="GW31">
        <v>1</v>
      </c>
      <c r="GX31">
        <f t="shared" si="58"/>
        <v>0</v>
      </c>
      <c r="HA31">
        <v>0</v>
      </c>
      <c r="HB31">
        <v>0</v>
      </c>
      <c r="HC31">
        <f t="shared" si="59"/>
        <v>0</v>
      </c>
      <c r="HE31" t="s">
        <v>27</v>
      </c>
      <c r="HF31" t="s">
        <v>27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HS31">
        <v>0</v>
      </c>
      <c r="IK31">
        <v>0</v>
      </c>
    </row>
    <row r="32" spans="1:245" x14ac:dyDescent="0.2">
      <c r="A32">
        <v>18</v>
      </c>
      <c r="B32">
        <v>1</v>
      </c>
      <c r="C32">
        <v>6</v>
      </c>
      <c r="E32" t="s">
        <v>35</v>
      </c>
      <c r="F32" t="s">
        <v>24</v>
      </c>
      <c r="G32" t="s">
        <v>36</v>
      </c>
      <c r="H32" t="s">
        <v>18</v>
      </c>
      <c r="I32">
        <f>I30*J32</f>
        <v>10</v>
      </c>
      <c r="J32">
        <v>0.25641025641025639</v>
      </c>
      <c r="K32">
        <v>0.25641026</v>
      </c>
      <c r="O32">
        <f t="shared" si="21"/>
        <v>61506</v>
      </c>
      <c r="P32">
        <f t="shared" si="22"/>
        <v>61506</v>
      </c>
      <c r="Q32">
        <f t="shared" si="23"/>
        <v>0</v>
      </c>
      <c r="R32">
        <f t="shared" si="24"/>
        <v>0</v>
      </c>
      <c r="S32">
        <f t="shared" si="25"/>
        <v>0</v>
      </c>
      <c r="T32">
        <f t="shared" si="26"/>
        <v>0</v>
      </c>
      <c r="U32">
        <f t="shared" si="27"/>
        <v>0</v>
      </c>
      <c r="V32">
        <f t="shared" si="28"/>
        <v>0</v>
      </c>
      <c r="W32">
        <f t="shared" si="29"/>
        <v>0</v>
      </c>
      <c r="X32">
        <f t="shared" si="30"/>
        <v>0</v>
      </c>
      <c r="Y32">
        <f t="shared" si="31"/>
        <v>0</v>
      </c>
      <c r="AA32">
        <v>81141517</v>
      </c>
      <c r="AB32">
        <f t="shared" si="32"/>
        <v>6150.6</v>
      </c>
      <c r="AC32">
        <f t="shared" si="33"/>
        <v>6150.6</v>
      </c>
      <c r="AD32">
        <f t="shared" si="34"/>
        <v>0</v>
      </c>
      <c r="AE32">
        <f t="shared" si="35"/>
        <v>0</v>
      </c>
      <c r="AF32">
        <f t="shared" si="36"/>
        <v>0</v>
      </c>
      <c r="AG32">
        <f t="shared" si="37"/>
        <v>0</v>
      </c>
      <c r="AH32">
        <f t="shared" si="38"/>
        <v>0</v>
      </c>
      <c r="AI32">
        <f t="shared" si="39"/>
        <v>0</v>
      </c>
      <c r="AJ32">
        <f t="shared" si="40"/>
        <v>0</v>
      </c>
      <c r="AK32">
        <v>6150.6</v>
      </c>
      <c r="AL32">
        <v>6150.6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3</v>
      </c>
      <c r="BI32">
        <v>4</v>
      </c>
      <c r="BJ32" t="s">
        <v>3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41"/>
        <v>61506</v>
      </c>
      <c r="CQ32">
        <f t="shared" si="42"/>
        <v>6150.6</v>
      </c>
      <c r="CR32">
        <f t="shared" si="43"/>
        <v>0</v>
      </c>
      <c r="CS32">
        <f t="shared" si="44"/>
        <v>0</v>
      </c>
      <c r="CT32">
        <f t="shared" si="45"/>
        <v>0</v>
      </c>
      <c r="CU32">
        <f t="shared" si="46"/>
        <v>0</v>
      </c>
      <c r="CV32">
        <f t="shared" si="47"/>
        <v>0</v>
      </c>
      <c r="CW32">
        <f t="shared" si="48"/>
        <v>0</v>
      </c>
      <c r="CX32">
        <f t="shared" si="49"/>
        <v>0</v>
      </c>
      <c r="CY32">
        <f t="shared" si="50"/>
        <v>0</v>
      </c>
      <c r="CZ32">
        <f t="shared" si="51"/>
        <v>0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1010</v>
      </c>
      <c r="DV32" t="s">
        <v>18</v>
      </c>
      <c r="DW32" t="s">
        <v>18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80196140</v>
      </c>
      <c r="EF32">
        <v>1</v>
      </c>
      <c r="EG32" t="s">
        <v>20</v>
      </c>
      <c r="EH32">
        <v>0</v>
      </c>
      <c r="EI32" t="s">
        <v>3</v>
      </c>
      <c r="EJ32">
        <v>4</v>
      </c>
      <c r="EK32">
        <v>0</v>
      </c>
      <c r="EL32" t="s">
        <v>21</v>
      </c>
      <c r="EM32" t="s">
        <v>22</v>
      </c>
      <c r="EO32" t="s">
        <v>3</v>
      </c>
      <c r="EQ32">
        <v>0</v>
      </c>
      <c r="ER32">
        <v>6150.6</v>
      </c>
      <c r="ES32">
        <v>6150.6</v>
      </c>
      <c r="ET32">
        <v>0</v>
      </c>
      <c r="EU32">
        <v>0</v>
      </c>
      <c r="EV32">
        <v>0</v>
      </c>
      <c r="EW32">
        <v>0</v>
      </c>
      <c r="EX32">
        <v>0</v>
      </c>
      <c r="EZ32">
        <v>5</v>
      </c>
      <c r="FC32">
        <v>1</v>
      </c>
      <c r="FD32">
        <v>18</v>
      </c>
      <c r="FF32">
        <v>7380.72</v>
      </c>
      <c r="FQ32">
        <v>0</v>
      </c>
      <c r="FR32">
        <v>0</v>
      </c>
      <c r="FS32">
        <v>0</v>
      </c>
      <c r="FX32">
        <v>70</v>
      </c>
      <c r="FY32">
        <v>10</v>
      </c>
      <c r="GA32" t="s">
        <v>37</v>
      </c>
      <c r="GD32">
        <v>0</v>
      </c>
      <c r="GF32">
        <v>-187466034</v>
      </c>
      <c r="GG32">
        <v>2</v>
      </c>
      <c r="GH32">
        <v>3</v>
      </c>
      <c r="GI32">
        <v>-2</v>
      </c>
      <c r="GJ32">
        <v>0</v>
      </c>
      <c r="GK32">
        <f>ROUND(R32*(R12)/100,2)</f>
        <v>0</v>
      </c>
      <c r="GL32">
        <f t="shared" si="52"/>
        <v>0</v>
      </c>
      <c r="GM32">
        <f t="shared" si="53"/>
        <v>61506</v>
      </c>
      <c r="GN32">
        <f t="shared" si="54"/>
        <v>0</v>
      </c>
      <c r="GO32">
        <f t="shared" si="55"/>
        <v>0</v>
      </c>
      <c r="GP32">
        <f t="shared" si="56"/>
        <v>61506</v>
      </c>
      <c r="GR32">
        <v>1</v>
      </c>
      <c r="GS32">
        <v>1</v>
      </c>
      <c r="GT32">
        <v>0</v>
      </c>
      <c r="GU32" t="s">
        <v>3</v>
      </c>
      <c r="GV32">
        <f t="shared" si="57"/>
        <v>0</v>
      </c>
      <c r="GW32">
        <v>1</v>
      </c>
      <c r="GX32">
        <f t="shared" si="58"/>
        <v>0</v>
      </c>
      <c r="HA32">
        <v>0</v>
      </c>
      <c r="HB32">
        <v>0</v>
      </c>
      <c r="HC32">
        <f t="shared" si="59"/>
        <v>0</v>
      </c>
      <c r="HE32" t="s">
        <v>27</v>
      </c>
      <c r="HF32" t="s">
        <v>27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HS32">
        <v>0</v>
      </c>
      <c r="IK32">
        <v>0</v>
      </c>
    </row>
    <row r="33" spans="1:245" x14ac:dyDescent="0.2">
      <c r="A33">
        <v>18</v>
      </c>
      <c r="B33">
        <v>1</v>
      </c>
      <c r="C33">
        <v>7</v>
      </c>
      <c r="E33" t="s">
        <v>38</v>
      </c>
      <c r="F33" t="s">
        <v>24</v>
      </c>
      <c r="G33" t="s">
        <v>39</v>
      </c>
      <c r="H33" t="s">
        <v>18</v>
      </c>
      <c r="I33">
        <f>I30*J33</f>
        <v>10</v>
      </c>
      <c r="J33">
        <v>0.25641025641025639</v>
      </c>
      <c r="K33">
        <v>0.25641026</v>
      </c>
      <c r="O33">
        <f t="shared" si="21"/>
        <v>105060</v>
      </c>
      <c r="P33">
        <f t="shared" si="22"/>
        <v>105060</v>
      </c>
      <c r="Q33">
        <f t="shared" si="23"/>
        <v>0</v>
      </c>
      <c r="R33">
        <f t="shared" si="24"/>
        <v>0</v>
      </c>
      <c r="S33">
        <f t="shared" si="25"/>
        <v>0</v>
      </c>
      <c r="T33">
        <f t="shared" si="26"/>
        <v>0</v>
      </c>
      <c r="U33">
        <f t="shared" si="27"/>
        <v>0</v>
      </c>
      <c r="V33">
        <f t="shared" si="28"/>
        <v>0</v>
      </c>
      <c r="W33">
        <f t="shared" si="29"/>
        <v>0</v>
      </c>
      <c r="X33">
        <f t="shared" si="30"/>
        <v>0</v>
      </c>
      <c r="Y33">
        <f t="shared" si="31"/>
        <v>0</v>
      </c>
      <c r="AA33">
        <v>81141517</v>
      </c>
      <c r="AB33">
        <f t="shared" si="32"/>
        <v>10506</v>
      </c>
      <c r="AC33">
        <f t="shared" si="33"/>
        <v>10506</v>
      </c>
      <c r="AD33">
        <f t="shared" si="34"/>
        <v>0</v>
      </c>
      <c r="AE33">
        <f t="shared" si="35"/>
        <v>0</v>
      </c>
      <c r="AF33">
        <f t="shared" si="36"/>
        <v>0</v>
      </c>
      <c r="AG33">
        <f t="shared" si="37"/>
        <v>0</v>
      </c>
      <c r="AH33">
        <f t="shared" si="38"/>
        <v>0</v>
      </c>
      <c r="AI33">
        <f t="shared" si="39"/>
        <v>0</v>
      </c>
      <c r="AJ33">
        <f t="shared" si="40"/>
        <v>0</v>
      </c>
      <c r="AK33">
        <v>10506</v>
      </c>
      <c r="AL33">
        <v>10506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4</v>
      </c>
      <c r="BJ33" t="s">
        <v>3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1"/>
        <v>105060</v>
      </c>
      <c r="CQ33">
        <f t="shared" si="42"/>
        <v>10506</v>
      </c>
      <c r="CR33">
        <f t="shared" si="43"/>
        <v>0</v>
      </c>
      <c r="CS33">
        <f t="shared" si="44"/>
        <v>0</v>
      </c>
      <c r="CT33">
        <f t="shared" si="45"/>
        <v>0</v>
      </c>
      <c r="CU33">
        <f t="shared" si="46"/>
        <v>0</v>
      </c>
      <c r="CV33">
        <f t="shared" si="47"/>
        <v>0</v>
      </c>
      <c r="CW33">
        <f t="shared" si="48"/>
        <v>0</v>
      </c>
      <c r="CX33">
        <f t="shared" si="49"/>
        <v>0</v>
      </c>
      <c r="CY33">
        <f t="shared" si="50"/>
        <v>0</v>
      </c>
      <c r="CZ33">
        <f t="shared" si="51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1010</v>
      </c>
      <c r="DV33" t="s">
        <v>18</v>
      </c>
      <c r="DW33" t="s">
        <v>18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80196140</v>
      </c>
      <c r="EF33">
        <v>1</v>
      </c>
      <c r="EG33" t="s">
        <v>20</v>
      </c>
      <c r="EH33">
        <v>0</v>
      </c>
      <c r="EI33" t="s">
        <v>3</v>
      </c>
      <c r="EJ33">
        <v>4</v>
      </c>
      <c r="EK33">
        <v>0</v>
      </c>
      <c r="EL33" t="s">
        <v>21</v>
      </c>
      <c r="EM33" t="s">
        <v>22</v>
      </c>
      <c r="EO33" t="s">
        <v>3</v>
      </c>
      <c r="EQ33">
        <v>0</v>
      </c>
      <c r="ER33">
        <v>10506</v>
      </c>
      <c r="ES33">
        <v>10506</v>
      </c>
      <c r="ET33">
        <v>0</v>
      </c>
      <c r="EU33">
        <v>0</v>
      </c>
      <c r="EV33">
        <v>0</v>
      </c>
      <c r="EW33">
        <v>0</v>
      </c>
      <c r="EX33">
        <v>0</v>
      </c>
      <c r="EZ33">
        <v>5</v>
      </c>
      <c r="FC33">
        <v>1</v>
      </c>
      <c r="FD33">
        <v>18</v>
      </c>
      <c r="FF33">
        <v>12607.2</v>
      </c>
      <c r="FQ33">
        <v>0</v>
      </c>
      <c r="FR33">
        <v>0</v>
      </c>
      <c r="FS33">
        <v>0</v>
      </c>
      <c r="FX33">
        <v>70</v>
      </c>
      <c r="FY33">
        <v>10</v>
      </c>
      <c r="GA33" t="s">
        <v>40</v>
      </c>
      <c r="GD33">
        <v>0</v>
      </c>
      <c r="GF33">
        <v>4058684</v>
      </c>
      <c r="GG33">
        <v>2</v>
      </c>
      <c r="GH33">
        <v>3</v>
      </c>
      <c r="GI33">
        <v>-2</v>
      </c>
      <c r="GJ33">
        <v>0</v>
      </c>
      <c r="GK33">
        <f>ROUND(R33*(R12)/100,2)</f>
        <v>0</v>
      </c>
      <c r="GL33">
        <f t="shared" si="52"/>
        <v>0</v>
      </c>
      <c r="GM33">
        <f t="shared" si="53"/>
        <v>105060</v>
      </c>
      <c r="GN33">
        <f t="shared" si="54"/>
        <v>0</v>
      </c>
      <c r="GO33">
        <f t="shared" si="55"/>
        <v>0</v>
      </c>
      <c r="GP33">
        <f t="shared" si="56"/>
        <v>105060</v>
      </c>
      <c r="GR33">
        <v>1</v>
      </c>
      <c r="GS33">
        <v>1</v>
      </c>
      <c r="GT33">
        <v>0</v>
      </c>
      <c r="GU33" t="s">
        <v>3</v>
      </c>
      <c r="GV33">
        <f t="shared" si="57"/>
        <v>0</v>
      </c>
      <c r="GW33">
        <v>1</v>
      </c>
      <c r="GX33">
        <f t="shared" si="58"/>
        <v>0</v>
      </c>
      <c r="HA33">
        <v>0</v>
      </c>
      <c r="HB33">
        <v>0</v>
      </c>
      <c r="HC33">
        <f t="shared" si="59"/>
        <v>0</v>
      </c>
      <c r="HE33" t="s">
        <v>27</v>
      </c>
      <c r="HF33" t="s">
        <v>27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HS33">
        <v>0</v>
      </c>
      <c r="IK33">
        <v>0</v>
      </c>
    </row>
    <row r="34" spans="1:245" x14ac:dyDescent="0.2">
      <c r="A34">
        <v>18</v>
      </c>
      <c r="B34">
        <v>1</v>
      </c>
      <c r="C34">
        <v>8</v>
      </c>
      <c r="E34" t="s">
        <v>41</v>
      </c>
      <c r="F34" t="s">
        <v>24</v>
      </c>
      <c r="G34" t="s">
        <v>42</v>
      </c>
      <c r="H34" t="s">
        <v>18</v>
      </c>
      <c r="I34">
        <f>I30*J34</f>
        <v>4</v>
      </c>
      <c r="J34">
        <v>0.10256410256410256</v>
      </c>
      <c r="K34">
        <v>0.10256410000000001</v>
      </c>
      <c r="O34">
        <f t="shared" si="21"/>
        <v>61599.839999999997</v>
      </c>
      <c r="P34">
        <f t="shared" si="22"/>
        <v>61599.839999999997</v>
      </c>
      <c r="Q34">
        <f t="shared" si="23"/>
        <v>0</v>
      </c>
      <c r="R34">
        <f t="shared" si="24"/>
        <v>0</v>
      </c>
      <c r="S34">
        <f t="shared" si="25"/>
        <v>0</v>
      </c>
      <c r="T34">
        <f t="shared" si="26"/>
        <v>0</v>
      </c>
      <c r="U34">
        <f t="shared" si="27"/>
        <v>0</v>
      </c>
      <c r="V34">
        <f t="shared" si="28"/>
        <v>0</v>
      </c>
      <c r="W34">
        <f t="shared" si="29"/>
        <v>0</v>
      </c>
      <c r="X34">
        <f t="shared" si="30"/>
        <v>0</v>
      </c>
      <c r="Y34">
        <f t="shared" si="31"/>
        <v>0</v>
      </c>
      <c r="AA34">
        <v>81141517</v>
      </c>
      <c r="AB34">
        <f t="shared" si="32"/>
        <v>15399.96</v>
      </c>
      <c r="AC34">
        <f t="shared" si="33"/>
        <v>15399.96</v>
      </c>
      <c r="AD34">
        <f t="shared" si="34"/>
        <v>0</v>
      </c>
      <c r="AE34">
        <f t="shared" si="35"/>
        <v>0</v>
      </c>
      <c r="AF34">
        <f t="shared" si="36"/>
        <v>0</v>
      </c>
      <c r="AG34">
        <f t="shared" si="37"/>
        <v>0</v>
      </c>
      <c r="AH34">
        <f t="shared" si="38"/>
        <v>0</v>
      </c>
      <c r="AI34">
        <f t="shared" si="39"/>
        <v>0</v>
      </c>
      <c r="AJ34">
        <f t="shared" si="40"/>
        <v>0</v>
      </c>
      <c r="AK34">
        <v>15399.96</v>
      </c>
      <c r="AL34">
        <v>15399.96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3</v>
      </c>
      <c r="BI34">
        <v>4</v>
      </c>
      <c r="BJ34" t="s">
        <v>3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1"/>
        <v>61599.839999999997</v>
      </c>
      <c r="CQ34">
        <f t="shared" si="42"/>
        <v>15399.96</v>
      </c>
      <c r="CR34">
        <f t="shared" si="43"/>
        <v>0</v>
      </c>
      <c r="CS34">
        <f t="shared" si="44"/>
        <v>0</v>
      </c>
      <c r="CT34">
        <f t="shared" si="45"/>
        <v>0</v>
      </c>
      <c r="CU34">
        <f t="shared" si="46"/>
        <v>0</v>
      </c>
      <c r="CV34">
        <f t="shared" si="47"/>
        <v>0</v>
      </c>
      <c r="CW34">
        <f t="shared" si="48"/>
        <v>0</v>
      </c>
      <c r="CX34">
        <f t="shared" si="49"/>
        <v>0</v>
      </c>
      <c r="CY34">
        <f t="shared" si="50"/>
        <v>0</v>
      </c>
      <c r="CZ34">
        <f t="shared" si="51"/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1010</v>
      </c>
      <c r="DV34" t="s">
        <v>18</v>
      </c>
      <c r="DW34" t="s">
        <v>18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80196140</v>
      </c>
      <c r="EF34">
        <v>1</v>
      </c>
      <c r="EG34" t="s">
        <v>20</v>
      </c>
      <c r="EH34">
        <v>0</v>
      </c>
      <c r="EI34" t="s">
        <v>3</v>
      </c>
      <c r="EJ34">
        <v>4</v>
      </c>
      <c r="EK34">
        <v>0</v>
      </c>
      <c r="EL34" t="s">
        <v>21</v>
      </c>
      <c r="EM34" t="s">
        <v>22</v>
      </c>
      <c r="EO34" t="s">
        <v>3</v>
      </c>
      <c r="EQ34">
        <v>0</v>
      </c>
      <c r="ER34">
        <v>15399.96</v>
      </c>
      <c r="ES34">
        <v>15399.96</v>
      </c>
      <c r="ET34">
        <v>0</v>
      </c>
      <c r="EU34">
        <v>0</v>
      </c>
      <c r="EV34">
        <v>0</v>
      </c>
      <c r="EW34">
        <v>0</v>
      </c>
      <c r="EX34">
        <v>0</v>
      </c>
      <c r="EZ34">
        <v>5</v>
      </c>
      <c r="FC34">
        <v>1</v>
      </c>
      <c r="FD34">
        <v>18</v>
      </c>
      <c r="FF34">
        <v>18479.95</v>
      </c>
      <c r="FQ34">
        <v>0</v>
      </c>
      <c r="FR34">
        <v>0</v>
      </c>
      <c r="FS34">
        <v>0</v>
      </c>
      <c r="FX34">
        <v>70</v>
      </c>
      <c r="FY34">
        <v>10</v>
      </c>
      <c r="GA34" t="s">
        <v>43</v>
      </c>
      <c r="GD34">
        <v>0</v>
      </c>
      <c r="GF34">
        <v>100909151</v>
      </c>
      <c r="GG34">
        <v>2</v>
      </c>
      <c r="GH34">
        <v>3</v>
      </c>
      <c r="GI34">
        <v>-2</v>
      </c>
      <c r="GJ34">
        <v>0</v>
      </c>
      <c r="GK34">
        <f>ROUND(R34*(R12)/100,2)</f>
        <v>0</v>
      </c>
      <c r="GL34">
        <f t="shared" si="52"/>
        <v>0</v>
      </c>
      <c r="GM34">
        <f t="shared" si="53"/>
        <v>61599.839999999997</v>
      </c>
      <c r="GN34">
        <f t="shared" si="54"/>
        <v>0</v>
      </c>
      <c r="GO34">
        <f t="shared" si="55"/>
        <v>0</v>
      </c>
      <c r="GP34">
        <f t="shared" si="56"/>
        <v>61599.839999999997</v>
      </c>
      <c r="GR34">
        <v>1</v>
      </c>
      <c r="GS34">
        <v>1</v>
      </c>
      <c r="GT34">
        <v>0</v>
      </c>
      <c r="GU34" t="s">
        <v>3</v>
      </c>
      <c r="GV34">
        <f t="shared" si="57"/>
        <v>0</v>
      </c>
      <c r="GW34">
        <v>1</v>
      </c>
      <c r="GX34">
        <f t="shared" si="58"/>
        <v>0</v>
      </c>
      <c r="HA34">
        <v>0</v>
      </c>
      <c r="HB34">
        <v>0</v>
      </c>
      <c r="HC34">
        <f t="shared" si="59"/>
        <v>0</v>
      </c>
      <c r="HE34" t="s">
        <v>27</v>
      </c>
      <c r="HF34" t="s">
        <v>27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HS34">
        <v>0</v>
      </c>
      <c r="IK34">
        <v>0</v>
      </c>
    </row>
    <row r="35" spans="1:245" x14ac:dyDescent="0.2">
      <c r="A35">
        <v>18</v>
      </c>
      <c r="B35">
        <v>1</v>
      </c>
      <c r="C35">
        <v>9</v>
      </c>
      <c r="E35" t="s">
        <v>44</v>
      </c>
      <c r="F35" t="s">
        <v>24</v>
      </c>
      <c r="G35" t="s">
        <v>45</v>
      </c>
      <c r="H35" t="s">
        <v>18</v>
      </c>
      <c r="I35">
        <f>I30*J35</f>
        <v>12</v>
      </c>
      <c r="J35">
        <v>0.30769230769230771</v>
      </c>
      <c r="K35">
        <v>0.30769229999999997</v>
      </c>
      <c r="O35">
        <f t="shared" si="21"/>
        <v>87000.48</v>
      </c>
      <c r="P35">
        <f t="shared" si="22"/>
        <v>87000.48</v>
      </c>
      <c r="Q35">
        <f t="shared" si="23"/>
        <v>0</v>
      </c>
      <c r="R35">
        <f t="shared" si="24"/>
        <v>0</v>
      </c>
      <c r="S35">
        <f t="shared" si="25"/>
        <v>0</v>
      </c>
      <c r="T35">
        <f t="shared" si="26"/>
        <v>0</v>
      </c>
      <c r="U35">
        <f t="shared" si="27"/>
        <v>0</v>
      </c>
      <c r="V35">
        <f t="shared" si="28"/>
        <v>0</v>
      </c>
      <c r="W35">
        <f t="shared" si="29"/>
        <v>0</v>
      </c>
      <c r="X35">
        <f t="shared" si="30"/>
        <v>0</v>
      </c>
      <c r="Y35">
        <f t="shared" si="31"/>
        <v>0</v>
      </c>
      <c r="AA35">
        <v>81141517</v>
      </c>
      <c r="AB35">
        <f t="shared" si="32"/>
        <v>7250.04</v>
      </c>
      <c r="AC35">
        <f t="shared" si="33"/>
        <v>7250.04</v>
      </c>
      <c r="AD35">
        <f t="shared" si="34"/>
        <v>0</v>
      </c>
      <c r="AE35">
        <f t="shared" si="35"/>
        <v>0</v>
      </c>
      <c r="AF35">
        <f t="shared" si="36"/>
        <v>0</v>
      </c>
      <c r="AG35">
        <f t="shared" si="37"/>
        <v>0</v>
      </c>
      <c r="AH35">
        <f t="shared" si="38"/>
        <v>0</v>
      </c>
      <c r="AI35">
        <f t="shared" si="39"/>
        <v>0</v>
      </c>
      <c r="AJ35">
        <f t="shared" si="40"/>
        <v>0</v>
      </c>
      <c r="AK35">
        <v>7250.04</v>
      </c>
      <c r="AL35">
        <v>7250.04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4</v>
      </c>
      <c r="BJ35" t="s">
        <v>3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1"/>
        <v>87000.48</v>
      </c>
      <c r="CQ35">
        <f t="shared" si="42"/>
        <v>7250.04</v>
      </c>
      <c r="CR35">
        <f t="shared" si="43"/>
        <v>0</v>
      </c>
      <c r="CS35">
        <f t="shared" si="44"/>
        <v>0</v>
      </c>
      <c r="CT35">
        <f t="shared" si="45"/>
        <v>0</v>
      </c>
      <c r="CU35">
        <f t="shared" si="46"/>
        <v>0</v>
      </c>
      <c r="CV35">
        <f t="shared" si="47"/>
        <v>0</v>
      </c>
      <c r="CW35">
        <f t="shared" si="48"/>
        <v>0</v>
      </c>
      <c r="CX35">
        <f t="shared" si="49"/>
        <v>0</v>
      </c>
      <c r="CY35">
        <f t="shared" si="50"/>
        <v>0</v>
      </c>
      <c r="CZ35">
        <f t="shared" si="51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1010</v>
      </c>
      <c r="DV35" t="s">
        <v>18</v>
      </c>
      <c r="DW35" t="s">
        <v>18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80196140</v>
      </c>
      <c r="EF35">
        <v>1</v>
      </c>
      <c r="EG35" t="s">
        <v>20</v>
      </c>
      <c r="EH35">
        <v>0</v>
      </c>
      <c r="EI35" t="s">
        <v>3</v>
      </c>
      <c r="EJ35">
        <v>4</v>
      </c>
      <c r="EK35">
        <v>0</v>
      </c>
      <c r="EL35" t="s">
        <v>21</v>
      </c>
      <c r="EM35" t="s">
        <v>22</v>
      </c>
      <c r="EO35" t="s">
        <v>3</v>
      </c>
      <c r="EQ35">
        <v>0</v>
      </c>
      <c r="ER35">
        <v>7250.04</v>
      </c>
      <c r="ES35">
        <v>7250.04</v>
      </c>
      <c r="ET35">
        <v>0</v>
      </c>
      <c r="EU35">
        <v>0</v>
      </c>
      <c r="EV35">
        <v>0</v>
      </c>
      <c r="EW35">
        <v>0</v>
      </c>
      <c r="EX35">
        <v>0</v>
      </c>
      <c r="EZ35">
        <v>5</v>
      </c>
      <c r="FC35">
        <v>1</v>
      </c>
      <c r="FD35">
        <v>18</v>
      </c>
      <c r="FF35">
        <v>8700.0499999999993</v>
      </c>
      <c r="FQ35">
        <v>0</v>
      </c>
      <c r="FR35">
        <v>0</v>
      </c>
      <c r="FS35">
        <v>0</v>
      </c>
      <c r="FX35">
        <v>70</v>
      </c>
      <c r="FY35">
        <v>10</v>
      </c>
      <c r="GA35" t="s">
        <v>46</v>
      </c>
      <c r="GD35">
        <v>0</v>
      </c>
      <c r="GF35">
        <v>427429176</v>
      </c>
      <c r="GG35">
        <v>2</v>
      </c>
      <c r="GH35">
        <v>3</v>
      </c>
      <c r="GI35">
        <v>-2</v>
      </c>
      <c r="GJ35">
        <v>0</v>
      </c>
      <c r="GK35">
        <f>ROUND(R35*(R12)/100,2)</f>
        <v>0</v>
      </c>
      <c r="GL35">
        <f t="shared" si="52"/>
        <v>0</v>
      </c>
      <c r="GM35">
        <f t="shared" si="53"/>
        <v>87000.48</v>
      </c>
      <c r="GN35">
        <f t="shared" si="54"/>
        <v>0</v>
      </c>
      <c r="GO35">
        <f t="shared" si="55"/>
        <v>0</v>
      </c>
      <c r="GP35">
        <f t="shared" si="56"/>
        <v>87000.48</v>
      </c>
      <c r="GR35">
        <v>1</v>
      </c>
      <c r="GS35">
        <v>1</v>
      </c>
      <c r="GT35">
        <v>0</v>
      </c>
      <c r="GU35" t="s">
        <v>3</v>
      </c>
      <c r="GV35">
        <f t="shared" si="57"/>
        <v>0</v>
      </c>
      <c r="GW35">
        <v>1</v>
      </c>
      <c r="GX35">
        <f t="shared" si="58"/>
        <v>0</v>
      </c>
      <c r="HA35">
        <v>0</v>
      </c>
      <c r="HB35">
        <v>0</v>
      </c>
      <c r="HC35">
        <f t="shared" si="59"/>
        <v>0</v>
      </c>
      <c r="HE35" t="s">
        <v>27</v>
      </c>
      <c r="HF35" t="s">
        <v>27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HS35">
        <v>0</v>
      </c>
      <c r="IK35">
        <v>0</v>
      </c>
    </row>
    <row r="36" spans="1:245" x14ac:dyDescent="0.2">
      <c r="A36">
        <v>17</v>
      </c>
      <c r="B36">
        <v>1</v>
      </c>
      <c r="C36">
        <f>ROW(SmtRes!A19)</f>
        <v>19</v>
      </c>
      <c r="D36">
        <f>ROW(EtalonRes!A12)</f>
        <v>12</v>
      </c>
      <c r="E36" t="s">
        <v>47</v>
      </c>
      <c r="F36" t="s">
        <v>48</v>
      </c>
      <c r="G36" t="s">
        <v>49</v>
      </c>
      <c r="H36" t="s">
        <v>50</v>
      </c>
      <c r="I36">
        <f>ROUND(2400/100,9)</f>
        <v>24</v>
      </c>
      <c r="J36">
        <v>0</v>
      </c>
      <c r="K36">
        <f>ROUND(2400/100,9)</f>
        <v>24</v>
      </c>
      <c r="O36">
        <f t="shared" si="21"/>
        <v>489637.44</v>
      </c>
      <c r="P36">
        <f t="shared" si="22"/>
        <v>425136.72</v>
      </c>
      <c r="Q36">
        <f t="shared" si="23"/>
        <v>30636.720000000001</v>
      </c>
      <c r="R36">
        <f t="shared" si="24"/>
        <v>15478.8</v>
      </c>
      <c r="S36">
        <f t="shared" si="25"/>
        <v>33864</v>
      </c>
      <c r="T36">
        <f t="shared" si="26"/>
        <v>0</v>
      </c>
      <c r="U36">
        <f t="shared" si="27"/>
        <v>56.88</v>
      </c>
      <c r="V36">
        <f t="shared" si="28"/>
        <v>0</v>
      </c>
      <c r="W36">
        <f t="shared" si="29"/>
        <v>0</v>
      </c>
      <c r="X36">
        <f t="shared" si="30"/>
        <v>23704.799999999999</v>
      </c>
      <c r="Y36">
        <f t="shared" si="31"/>
        <v>3386.4</v>
      </c>
      <c r="AA36">
        <v>81141517</v>
      </c>
      <c r="AB36">
        <f t="shared" si="32"/>
        <v>20401.560000000001</v>
      </c>
      <c r="AC36">
        <f t="shared" si="33"/>
        <v>17714.03</v>
      </c>
      <c r="AD36">
        <f t="shared" si="34"/>
        <v>1276.53</v>
      </c>
      <c r="AE36">
        <f t="shared" si="35"/>
        <v>644.95000000000005</v>
      </c>
      <c r="AF36">
        <f t="shared" si="36"/>
        <v>1411</v>
      </c>
      <c r="AG36">
        <f t="shared" si="37"/>
        <v>0</v>
      </c>
      <c r="AH36">
        <f t="shared" si="38"/>
        <v>2.37</v>
      </c>
      <c r="AI36">
        <f t="shared" si="39"/>
        <v>0</v>
      </c>
      <c r="AJ36">
        <f t="shared" si="40"/>
        <v>0</v>
      </c>
      <c r="AK36">
        <v>20401.560000000001</v>
      </c>
      <c r="AL36">
        <v>17714.03</v>
      </c>
      <c r="AM36">
        <v>1276.53</v>
      </c>
      <c r="AN36">
        <v>644.95000000000005</v>
      </c>
      <c r="AO36">
        <v>1411</v>
      </c>
      <c r="AP36">
        <v>0</v>
      </c>
      <c r="AQ36">
        <v>2.37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51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1"/>
        <v>489637.43999999994</v>
      </c>
      <c r="CQ36">
        <f t="shared" si="42"/>
        <v>17714.03</v>
      </c>
      <c r="CR36">
        <f t="shared" si="43"/>
        <v>1276.53</v>
      </c>
      <c r="CS36">
        <f t="shared" si="44"/>
        <v>644.95000000000005</v>
      </c>
      <c r="CT36">
        <f t="shared" si="45"/>
        <v>1411</v>
      </c>
      <c r="CU36">
        <f t="shared" si="46"/>
        <v>0</v>
      </c>
      <c r="CV36">
        <f t="shared" si="47"/>
        <v>2.37</v>
      </c>
      <c r="CW36">
        <f t="shared" si="48"/>
        <v>0</v>
      </c>
      <c r="CX36">
        <f t="shared" si="49"/>
        <v>0</v>
      </c>
      <c r="CY36">
        <f t="shared" si="50"/>
        <v>23704.799999999999</v>
      </c>
      <c r="CZ36">
        <f t="shared" si="51"/>
        <v>3386.4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1003</v>
      </c>
      <c r="DV36" t="s">
        <v>50</v>
      </c>
      <c r="DW36" t="s">
        <v>50</v>
      </c>
      <c r="DX36">
        <v>100</v>
      </c>
      <c r="DZ36" t="s">
        <v>3</v>
      </c>
      <c r="EA36" t="s">
        <v>3</v>
      </c>
      <c r="EB36" t="s">
        <v>3</v>
      </c>
      <c r="EC36" t="s">
        <v>3</v>
      </c>
      <c r="EE36">
        <v>80196140</v>
      </c>
      <c r="EF36">
        <v>1</v>
      </c>
      <c r="EG36" t="s">
        <v>20</v>
      </c>
      <c r="EH36">
        <v>0</v>
      </c>
      <c r="EI36" t="s">
        <v>3</v>
      </c>
      <c r="EJ36">
        <v>4</v>
      </c>
      <c r="EK36">
        <v>0</v>
      </c>
      <c r="EL36" t="s">
        <v>21</v>
      </c>
      <c r="EM36" t="s">
        <v>22</v>
      </c>
      <c r="EO36" t="s">
        <v>3</v>
      </c>
      <c r="EQ36">
        <v>0</v>
      </c>
      <c r="ER36">
        <v>20401.560000000001</v>
      </c>
      <c r="ES36">
        <v>17714.03</v>
      </c>
      <c r="ET36">
        <v>1276.53</v>
      </c>
      <c r="EU36">
        <v>644.95000000000005</v>
      </c>
      <c r="EV36">
        <v>1411</v>
      </c>
      <c r="EW36">
        <v>2.37</v>
      </c>
      <c r="EX36">
        <v>0</v>
      </c>
      <c r="EY36">
        <v>0</v>
      </c>
      <c r="FQ36">
        <v>0</v>
      </c>
      <c r="FR36"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-962374925</v>
      </c>
      <c r="GG36">
        <v>2</v>
      </c>
      <c r="GH36">
        <v>1</v>
      </c>
      <c r="GI36">
        <v>-2</v>
      </c>
      <c r="GJ36">
        <v>0</v>
      </c>
      <c r="GK36">
        <f>ROUND(R36*(R12)/100,2)</f>
        <v>16717.099999999999</v>
      </c>
      <c r="GL36">
        <f t="shared" si="52"/>
        <v>0</v>
      </c>
      <c r="GM36">
        <f t="shared" si="53"/>
        <v>533445.74</v>
      </c>
      <c r="GN36">
        <f t="shared" si="54"/>
        <v>0</v>
      </c>
      <c r="GO36">
        <f t="shared" si="55"/>
        <v>0</v>
      </c>
      <c r="GP36">
        <f t="shared" si="56"/>
        <v>533445.74</v>
      </c>
      <c r="GR36">
        <v>0</v>
      </c>
      <c r="GS36">
        <v>3</v>
      </c>
      <c r="GT36">
        <v>0</v>
      </c>
      <c r="GU36" t="s">
        <v>3</v>
      </c>
      <c r="GV36">
        <f t="shared" si="57"/>
        <v>0</v>
      </c>
      <c r="GW36">
        <v>1</v>
      </c>
      <c r="GX36">
        <f t="shared" si="58"/>
        <v>0</v>
      </c>
      <c r="HA36">
        <v>0</v>
      </c>
      <c r="HB36">
        <v>0</v>
      </c>
      <c r="HC36">
        <f t="shared" si="59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HS36">
        <v>0</v>
      </c>
      <c r="IK36">
        <v>0</v>
      </c>
    </row>
    <row r="37" spans="1:245" x14ac:dyDescent="0.2">
      <c r="A37">
        <v>18</v>
      </c>
      <c r="B37">
        <v>1</v>
      </c>
      <c r="C37">
        <v>18</v>
      </c>
      <c r="E37" t="s">
        <v>52</v>
      </c>
      <c r="F37" t="s">
        <v>53</v>
      </c>
      <c r="G37" t="s">
        <v>54</v>
      </c>
      <c r="H37" t="s">
        <v>55</v>
      </c>
      <c r="I37">
        <f>I36*J37</f>
        <v>-2.472</v>
      </c>
      <c r="J37">
        <v>-0.10299999999999999</v>
      </c>
      <c r="K37">
        <v>-0.10299999999999999</v>
      </c>
      <c r="O37">
        <f t="shared" si="21"/>
        <v>-414851.88</v>
      </c>
      <c r="P37">
        <f t="shared" si="22"/>
        <v>-414851.88</v>
      </c>
      <c r="Q37">
        <f t="shared" si="23"/>
        <v>0</v>
      </c>
      <c r="R37">
        <f t="shared" si="24"/>
        <v>0</v>
      </c>
      <c r="S37">
        <f t="shared" si="25"/>
        <v>0</v>
      </c>
      <c r="T37">
        <f t="shared" si="26"/>
        <v>0</v>
      </c>
      <c r="U37">
        <f t="shared" si="27"/>
        <v>0</v>
      </c>
      <c r="V37">
        <f t="shared" si="28"/>
        <v>0</v>
      </c>
      <c r="W37">
        <f t="shared" si="29"/>
        <v>0</v>
      </c>
      <c r="X37">
        <f t="shared" si="30"/>
        <v>0</v>
      </c>
      <c r="Y37">
        <f t="shared" si="31"/>
        <v>0</v>
      </c>
      <c r="AA37">
        <v>81141517</v>
      </c>
      <c r="AB37">
        <f t="shared" si="32"/>
        <v>167820.34</v>
      </c>
      <c r="AC37">
        <f t="shared" si="33"/>
        <v>167820.34</v>
      </c>
      <c r="AD37">
        <f t="shared" si="34"/>
        <v>0</v>
      </c>
      <c r="AE37">
        <f t="shared" si="35"/>
        <v>0</v>
      </c>
      <c r="AF37">
        <f t="shared" si="36"/>
        <v>0</v>
      </c>
      <c r="AG37">
        <f t="shared" si="37"/>
        <v>0</v>
      </c>
      <c r="AH37">
        <f t="shared" si="38"/>
        <v>0</v>
      </c>
      <c r="AI37">
        <f t="shared" si="39"/>
        <v>0</v>
      </c>
      <c r="AJ37">
        <f t="shared" si="40"/>
        <v>0</v>
      </c>
      <c r="AK37">
        <v>167820.34</v>
      </c>
      <c r="AL37">
        <v>167820.34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4</v>
      </c>
      <c r="BJ37" t="s">
        <v>56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1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1"/>
        <v>-414851.88</v>
      </c>
      <c r="CQ37">
        <f t="shared" si="42"/>
        <v>167820.34</v>
      </c>
      <c r="CR37">
        <f t="shared" si="43"/>
        <v>0</v>
      </c>
      <c r="CS37">
        <f t="shared" si="44"/>
        <v>0</v>
      </c>
      <c r="CT37">
        <f t="shared" si="45"/>
        <v>0</v>
      </c>
      <c r="CU37">
        <f t="shared" si="46"/>
        <v>0</v>
      </c>
      <c r="CV37">
        <f t="shared" si="47"/>
        <v>0</v>
      </c>
      <c r="CW37">
        <f t="shared" si="48"/>
        <v>0</v>
      </c>
      <c r="CX37">
        <f t="shared" si="49"/>
        <v>0</v>
      </c>
      <c r="CY37">
        <f t="shared" si="50"/>
        <v>0</v>
      </c>
      <c r="CZ37">
        <f t="shared" si="51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1003</v>
      </c>
      <c r="DV37" t="s">
        <v>55</v>
      </c>
      <c r="DW37" t="s">
        <v>55</v>
      </c>
      <c r="DX37">
        <v>1000</v>
      </c>
      <c r="DZ37" t="s">
        <v>3</v>
      </c>
      <c r="EA37" t="s">
        <v>3</v>
      </c>
      <c r="EB37" t="s">
        <v>3</v>
      </c>
      <c r="EC37" t="s">
        <v>3</v>
      </c>
      <c r="EE37">
        <v>80196140</v>
      </c>
      <c r="EF37">
        <v>1</v>
      </c>
      <c r="EG37" t="s">
        <v>20</v>
      </c>
      <c r="EH37">
        <v>0</v>
      </c>
      <c r="EI37" t="s">
        <v>3</v>
      </c>
      <c r="EJ37">
        <v>4</v>
      </c>
      <c r="EK37">
        <v>0</v>
      </c>
      <c r="EL37" t="s">
        <v>21</v>
      </c>
      <c r="EM37" t="s">
        <v>22</v>
      </c>
      <c r="EO37" t="s">
        <v>3</v>
      </c>
      <c r="EQ37">
        <v>0</v>
      </c>
      <c r="ER37">
        <v>167820.34</v>
      </c>
      <c r="ES37">
        <v>167820.34</v>
      </c>
      <c r="ET37">
        <v>0</v>
      </c>
      <c r="EU37">
        <v>0</v>
      </c>
      <c r="EV37">
        <v>0</v>
      </c>
      <c r="EW37">
        <v>0</v>
      </c>
      <c r="EX37">
        <v>0</v>
      </c>
      <c r="FQ37">
        <v>0</v>
      </c>
      <c r="FR37"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-1159683909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2"/>
        <v>0</v>
      </c>
      <c r="GM37">
        <f t="shared" si="53"/>
        <v>-414851.88</v>
      </c>
      <c r="GN37">
        <f t="shared" si="54"/>
        <v>0</v>
      </c>
      <c r="GO37">
        <f t="shared" si="55"/>
        <v>0</v>
      </c>
      <c r="GP37">
        <f t="shared" si="56"/>
        <v>-414851.88</v>
      </c>
      <c r="GR37">
        <v>0</v>
      </c>
      <c r="GS37">
        <v>3</v>
      </c>
      <c r="GT37">
        <v>0</v>
      </c>
      <c r="GU37" t="s">
        <v>3</v>
      </c>
      <c r="GV37">
        <f t="shared" si="57"/>
        <v>0</v>
      </c>
      <c r="GW37">
        <v>1</v>
      </c>
      <c r="GX37">
        <f t="shared" si="58"/>
        <v>0</v>
      </c>
      <c r="HA37">
        <v>0</v>
      </c>
      <c r="HB37">
        <v>0</v>
      </c>
      <c r="HC37">
        <f t="shared" si="59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HS37">
        <v>0</v>
      </c>
      <c r="IK37">
        <v>0</v>
      </c>
    </row>
    <row r="38" spans="1:245" x14ac:dyDescent="0.2">
      <c r="A38">
        <v>18</v>
      </c>
      <c r="B38">
        <v>1</v>
      </c>
      <c r="C38">
        <v>19</v>
      </c>
      <c r="E38" t="s">
        <v>57</v>
      </c>
      <c r="F38" t="s">
        <v>24</v>
      </c>
      <c r="G38" t="s">
        <v>58</v>
      </c>
      <c r="H38" t="s">
        <v>59</v>
      </c>
      <c r="I38">
        <f>I36*J38</f>
        <v>2400</v>
      </c>
      <c r="J38">
        <v>100</v>
      </c>
      <c r="K38">
        <v>100</v>
      </c>
      <c r="O38">
        <f t="shared" si="21"/>
        <v>140880</v>
      </c>
      <c r="P38">
        <f t="shared" si="22"/>
        <v>140880</v>
      </c>
      <c r="Q38">
        <f t="shared" si="23"/>
        <v>0</v>
      </c>
      <c r="R38">
        <f t="shared" si="24"/>
        <v>0</v>
      </c>
      <c r="S38">
        <f t="shared" si="25"/>
        <v>0</v>
      </c>
      <c r="T38">
        <f t="shared" si="26"/>
        <v>0</v>
      </c>
      <c r="U38">
        <f t="shared" si="27"/>
        <v>0</v>
      </c>
      <c r="V38">
        <f t="shared" si="28"/>
        <v>0</v>
      </c>
      <c r="W38">
        <f t="shared" si="29"/>
        <v>0</v>
      </c>
      <c r="X38">
        <f t="shared" si="30"/>
        <v>0</v>
      </c>
      <c r="Y38">
        <f t="shared" si="31"/>
        <v>0</v>
      </c>
      <c r="AA38">
        <v>81141517</v>
      </c>
      <c r="AB38">
        <f t="shared" si="32"/>
        <v>58.7</v>
      </c>
      <c r="AC38">
        <f t="shared" si="33"/>
        <v>58.7</v>
      </c>
      <c r="AD38">
        <f t="shared" si="34"/>
        <v>0</v>
      </c>
      <c r="AE38">
        <f t="shared" si="35"/>
        <v>0</v>
      </c>
      <c r="AF38">
        <f t="shared" si="36"/>
        <v>0</v>
      </c>
      <c r="AG38">
        <f t="shared" si="37"/>
        <v>0</v>
      </c>
      <c r="AH38">
        <f t="shared" si="38"/>
        <v>0</v>
      </c>
      <c r="AI38">
        <f t="shared" si="39"/>
        <v>0</v>
      </c>
      <c r="AJ38">
        <f t="shared" si="40"/>
        <v>0</v>
      </c>
      <c r="AK38">
        <v>58.7</v>
      </c>
      <c r="AL38">
        <v>58.7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4</v>
      </c>
      <c r="BJ38" t="s">
        <v>3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1"/>
        <v>140880</v>
      </c>
      <c r="CQ38">
        <f t="shared" si="42"/>
        <v>58.7</v>
      </c>
      <c r="CR38">
        <f t="shared" si="43"/>
        <v>0</v>
      </c>
      <c r="CS38">
        <f t="shared" si="44"/>
        <v>0</v>
      </c>
      <c r="CT38">
        <f t="shared" si="45"/>
        <v>0</v>
      </c>
      <c r="CU38">
        <f t="shared" si="46"/>
        <v>0</v>
      </c>
      <c r="CV38">
        <f t="shared" si="47"/>
        <v>0</v>
      </c>
      <c r="CW38">
        <f t="shared" si="48"/>
        <v>0</v>
      </c>
      <c r="CX38">
        <f t="shared" si="49"/>
        <v>0</v>
      </c>
      <c r="CY38">
        <f t="shared" si="50"/>
        <v>0</v>
      </c>
      <c r="CZ38">
        <f t="shared" si="51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1013</v>
      </c>
      <c r="DV38" t="s">
        <v>59</v>
      </c>
      <c r="DW38" t="s">
        <v>59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80196140</v>
      </c>
      <c r="EF38">
        <v>1</v>
      </c>
      <c r="EG38" t="s">
        <v>20</v>
      </c>
      <c r="EH38">
        <v>0</v>
      </c>
      <c r="EI38" t="s">
        <v>3</v>
      </c>
      <c r="EJ38">
        <v>4</v>
      </c>
      <c r="EK38">
        <v>0</v>
      </c>
      <c r="EL38" t="s">
        <v>21</v>
      </c>
      <c r="EM38" t="s">
        <v>22</v>
      </c>
      <c r="EO38" t="s">
        <v>3</v>
      </c>
      <c r="EQ38">
        <v>0</v>
      </c>
      <c r="ER38">
        <v>58.7</v>
      </c>
      <c r="ES38">
        <v>58.7</v>
      </c>
      <c r="ET38">
        <v>0</v>
      </c>
      <c r="EU38">
        <v>0</v>
      </c>
      <c r="EV38">
        <v>0</v>
      </c>
      <c r="EW38">
        <v>0</v>
      </c>
      <c r="EX38">
        <v>0</v>
      </c>
      <c r="EZ38">
        <v>5</v>
      </c>
      <c r="FC38">
        <v>1</v>
      </c>
      <c r="FD38">
        <v>18</v>
      </c>
      <c r="FF38">
        <v>70.44</v>
      </c>
      <c r="FQ38">
        <v>0</v>
      </c>
      <c r="FR38">
        <v>0</v>
      </c>
      <c r="FS38">
        <v>0</v>
      </c>
      <c r="FX38">
        <v>70</v>
      </c>
      <c r="FY38">
        <v>10</v>
      </c>
      <c r="GA38" t="s">
        <v>60</v>
      </c>
      <c r="GD38">
        <v>0</v>
      </c>
      <c r="GF38">
        <v>581377310</v>
      </c>
      <c r="GG38">
        <v>2</v>
      </c>
      <c r="GH38">
        <v>3</v>
      </c>
      <c r="GI38">
        <v>-2</v>
      </c>
      <c r="GJ38">
        <v>0</v>
      </c>
      <c r="GK38">
        <f>ROUND(R38*(R12)/100,2)</f>
        <v>0</v>
      </c>
      <c r="GL38">
        <f t="shared" si="52"/>
        <v>0</v>
      </c>
      <c r="GM38">
        <f t="shared" si="53"/>
        <v>140880</v>
      </c>
      <c r="GN38">
        <f t="shared" si="54"/>
        <v>0</v>
      </c>
      <c r="GO38">
        <f t="shared" si="55"/>
        <v>0</v>
      </c>
      <c r="GP38">
        <f t="shared" si="56"/>
        <v>140880</v>
      </c>
      <c r="GR38">
        <v>1</v>
      </c>
      <c r="GS38">
        <v>1</v>
      </c>
      <c r="GT38">
        <v>0</v>
      </c>
      <c r="GU38" t="s">
        <v>3</v>
      </c>
      <c r="GV38">
        <f t="shared" si="57"/>
        <v>0</v>
      </c>
      <c r="GW38">
        <v>1</v>
      </c>
      <c r="GX38">
        <f t="shared" si="58"/>
        <v>0</v>
      </c>
      <c r="HA38">
        <v>0</v>
      </c>
      <c r="HB38">
        <v>0</v>
      </c>
      <c r="HC38">
        <f t="shared" si="59"/>
        <v>0</v>
      </c>
      <c r="HE38" t="s">
        <v>27</v>
      </c>
      <c r="HF38" t="s">
        <v>27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HS38">
        <v>0</v>
      </c>
      <c r="IK38">
        <v>0</v>
      </c>
    </row>
    <row r="39" spans="1:245" x14ac:dyDescent="0.2">
      <c r="A39">
        <v>17</v>
      </c>
      <c r="B39">
        <v>1</v>
      </c>
      <c r="C39">
        <f>ROW(SmtRes!A29)</f>
        <v>29</v>
      </c>
      <c r="D39">
        <f>ROW(EtalonRes!A21)</f>
        <v>21</v>
      </c>
      <c r="E39" t="s">
        <v>61</v>
      </c>
      <c r="F39" t="s">
        <v>62</v>
      </c>
      <c r="G39" t="s">
        <v>63</v>
      </c>
      <c r="H39" t="s">
        <v>50</v>
      </c>
      <c r="I39">
        <f>ROUND(3200/100,9)</f>
        <v>32</v>
      </c>
      <c r="J39">
        <v>0</v>
      </c>
      <c r="K39">
        <f>ROUND(3200/100,9)</f>
        <v>32</v>
      </c>
      <c r="O39">
        <f t="shared" si="21"/>
        <v>460741.76</v>
      </c>
      <c r="P39">
        <f t="shared" si="22"/>
        <v>122070.72</v>
      </c>
      <c r="Q39">
        <f t="shared" si="23"/>
        <v>1684.8</v>
      </c>
      <c r="R39">
        <f t="shared" si="24"/>
        <v>18.88</v>
      </c>
      <c r="S39">
        <f t="shared" si="25"/>
        <v>336986.24</v>
      </c>
      <c r="T39">
        <f t="shared" si="26"/>
        <v>0</v>
      </c>
      <c r="U39">
        <f t="shared" si="27"/>
        <v>552.32000000000005</v>
      </c>
      <c r="V39">
        <f t="shared" si="28"/>
        <v>0</v>
      </c>
      <c r="W39">
        <f t="shared" si="29"/>
        <v>0</v>
      </c>
      <c r="X39">
        <f t="shared" si="30"/>
        <v>235890.37</v>
      </c>
      <c r="Y39">
        <f t="shared" si="31"/>
        <v>33698.620000000003</v>
      </c>
      <c r="AA39">
        <v>81141517</v>
      </c>
      <c r="AB39">
        <f t="shared" si="32"/>
        <v>14398.18</v>
      </c>
      <c r="AC39">
        <f t="shared" si="33"/>
        <v>3814.71</v>
      </c>
      <c r="AD39">
        <f t="shared" si="34"/>
        <v>52.65</v>
      </c>
      <c r="AE39">
        <f t="shared" si="35"/>
        <v>0.59</v>
      </c>
      <c r="AF39">
        <f t="shared" si="36"/>
        <v>10530.82</v>
      </c>
      <c r="AG39">
        <f t="shared" si="37"/>
        <v>0</v>
      </c>
      <c r="AH39">
        <f t="shared" si="38"/>
        <v>17.260000000000002</v>
      </c>
      <c r="AI39">
        <f t="shared" si="39"/>
        <v>0</v>
      </c>
      <c r="AJ39">
        <f t="shared" si="40"/>
        <v>0</v>
      </c>
      <c r="AK39">
        <v>14398.18</v>
      </c>
      <c r="AL39">
        <v>3814.71</v>
      </c>
      <c r="AM39">
        <v>52.65</v>
      </c>
      <c r="AN39">
        <v>0.59</v>
      </c>
      <c r="AO39">
        <v>10530.82</v>
      </c>
      <c r="AP39">
        <v>0</v>
      </c>
      <c r="AQ39">
        <v>17.260000000000002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64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1"/>
        <v>460741.76</v>
      </c>
      <c r="CQ39">
        <f t="shared" si="42"/>
        <v>3814.71</v>
      </c>
      <c r="CR39">
        <f t="shared" si="43"/>
        <v>52.65</v>
      </c>
      <c r="CS39">
        <f t="shared" si="44"/>
        <v>0.59</v>
      </c>
      <c r="CT39">
        <f t="shared" si="45"/>
        <v>10530.82</v>
      </c>
      <c r="CU39">
        <f t="shared" si="46"/>
        <v>0</v>
      </c>
      <c r="CV39">
        <f t="shared" si="47"/>
        <v>17.260000000000002</v>
      </c>
      <c r="CW39">
        <f t="shared" si="48"/>
        <v>0</v>
      </c>
      <c r="CX39">
        <f t="shared" si="49"/>
        <v>0</v>
      </c>
      <c r="CY39">
        <f t="shared" si="50"/>
        <v>235890.36800000002</v>
      </c>
      <c r="CZ39">
        <f t="shared" si="51"/>
        <v>33698.623999999996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1003</v>
      </c>
      <c r="DV39" t="s">
        <v>50</v>
      </c>
      <c r="DW39" t="s">
        <v>50</v>
      </c>
      <c r="DX39">
        <v>100</v>
      </c>
      <c r="DZ39" t="s">
        <v>3</v>
      </c>
      <c r="EA39" t="s">
        <v>3</v>
      </c>
      <c r="EB39" t="s">
        <v>3</v>
      </c>
      <c r="EC39" t="s">
        <v>3</v>
      </c>
      <c r="EE39">
        <v>80196140</v>
      </c>
      <c r="EF39">
        <v>1</v>
      </c>
      <c r="EG39" t="s">
        <v>20</v>
      </c>
      <c r="EH39">
        <v>0</v>
      </c>
      <c r="EI39" t="s">
        <v>3</v>
      </c>
      <c r="EJ39">
        <v>4</v>
      </c>
      <c r="EK39">
        <v>0</v>
      </c>
      <c r="EL39" t="s">
        <v>21</v>
      </c>
      <c r="EM39" t="s">
        <v>22</v>
      </c>
      <c r="EO39" t="s">
        <v>3</v>
      </c>
      <c r="EQ39">
        <v>0</v>
      </c>
      <c r="ER39">
        <v>14398.18</v>
      </c>
      <c r="ES39">
        <v>3814.71</v>
      </c>
      <c r="ET39">
        <v>52.65</v>
      </c>
      <c r="EU39">
        <v>0.59</v>
      </c>
      <c r="EV39">
        <v>10530.82</v>
      </c>
      <c r="EW39">
        <v>17.260000000000002</v>
      </c>
      <c r="EX39">
        <v>0</v>
      </c>
      <c r="EY39">
        <v>0</v>
      </c>
      <c r="FQ39">
        <v>0</v>
      </c>
      <c r="FR39"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-327004114</v>
      </c>
      <c r="GG39">
        <v>2</v>
      </c>
      <c r="GH39">
        <v>1</v>
      </c>
      <c r="GI39">
        <v>-2</v>
      </c>
      <c r="GJ39">
        <v>0</v>
      </c>
      <c r="GK39">
        <f>ROUND(R39*(R12)/100,2)</f>
        <v>20.39</v>
      </c>
      <c r="GL39">
        <f t="shared" si="52"/>
        <v>0</v>
      </c>
      <c r="GM39">
        <f t="shared" si="53"/>
        <v>730351.14</v>
      </c>
      <c r="GN39">
        <f t="shared" si="54"/>
        <v>0</v>
      </c>
      <c r="GO39">
        <f t="shared" si="55"/>
        <v>0</v>
      </c>
      <c r="GP39">
        <f t="shared" si="56"/>
        <v>730351.14</v>
      </c>
      <c r="GR39">
        <v>0</v>
      </c>
      <c r="GS39">
        <v>3</v>
      </c>
      <c r="GT39">
        <v>0</v>
      </c>
      <c r="GU39" t="s">
        <v>3</v>
      </c>
      <c r="GV39">
        <f t="shared" si="57"/>
        <v>0</v>
      </c>
      <c r="GW39">
        <v>1</v>
      </c>
      <c r="GX39">
        <f t="shared" si="58"/>
        <v>0</v>
      </c>
      <c r="HA39">
        <v>0</v>
      </c>
      <c r="HB39">
        <v>0</v>
      </c>
      <c r="HC39">
        <f t="shared" si="59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HS39">
        <v>0</v>
      </c>
      <c r="IK39">
        <v>0</v>
      </c>
    </row>
    <row r="40" spans="1:245" x14ac:dyDescent="0.2">
      <c r="A40">
        <v>18</v>
      </c>
      <c r="B40">
        <v>1</v>
      </c>
      <c r="C40">
        <v>28</v>
      </c>
      <c r="E40" t="s">
        <v>65</v>
      </c>
      <c r="F40" t="s">
        <v>66</v>
      </c>
      <c r="G40" t="s">
        <v>67</v>
      </c>
      <c r="H40" t="s">
        <v>18</v>
      </c>
      <c r="I40">
        <f>I39*J40</f>
        <v>900</v>
      </c>
      <c r="J40">
        <v>28.125</v>
      </c>
      <c r="K40">
        <v>28.125</v>
      </c>
      <c r="O40">
        <f t="shared" si="21"/>
        <v>424413</v>
      </c>
      <c r="P40">
        <f t="shared" si="22"/>
        <v>424413</v>
      </c>
      <c r="Q40">
        <f t="shared" si="23"/>
        <v>0</v>
      </c>
      <c r="R40">
        <f t="shared" si="24"/>
        <v>0</v>
      </c>
      <c r="S40">
        <f t="shared" si="25"/>
        <v>0</v>
      </c>
      <c r="T40">
        <f t="shared" si="26"/>
        <v>0</v>
      </c>
      <c r="U40">
        <f t="shared" si="27"/>
        <v>0</v>
      </c>
      <c r="V40">
        <f t="shared" si="28"/>
        <v>0</v>
      </c>
      <c r="W40">
        <f t="shared" si="29"/>
        <v>0</v>
      </c>
      <c r="X40">
        <f t="shared" si="30"/>
        <v>0</v>
      </c>
      <c r="Y40">
        <f t="shared" si="31"/>
        <v>0</v>
      </c>
      <c r="AA40">
        <v>81141517</v>
      </c>
      <c r="AB40">
        <f t="shared" si="32"/>
        <v>471.57</v>
      </c>
      <c r="AC40">
        <f t="shared" si="33"/>
        <v>471.57</v>
      </c>
      <c r="AD40">
        <f t="shared" si="34"/>
        <v>0</v>
      </c>
      <c r="AE40">
        <f t="shared" si="35"/>
        <v>0</v>
      </c>
      <c r="AF40">
        <f t="shared" si="36"/>
        <v>0</v>
      </c>
      <c r="AG40">
        <f t="shared" si="37"/>
        <v>0</v>
      </c>
      <c r="AH40">
        <f t="shared" si="38"/>
        <v>0</v>
      </c>
      <c r="AI40">
        <f t="shared" si="39"/>
        <v>0</v>
      </c>
      <c r="AJ40">
        <f t="shared" si="40"/>
        <v>0</v>
      </c>
      <c r="AK40">
        <v>471.57</v>
      </c>
      <c r="AL40">
        <v>471.57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4</v>
      </c>
      <c r="BJ40" t="s">
        <v>68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1"/>
        <v>424413</v>
      </c>
      <c r="CQ40">
        <f t="shared" si="42"/>
        <v>471.57</v>
      </c>
      <c r="CR40">
        <f t="shared" si="43"/>
        <v>0</v>
      </c>
      <c r="CS40">
        <f t="shared" si="44"/>
        <v>0</v>
      </c>
      <c r="CT40">
        <f t="shared" si="45"/>
        <v>0</v>
      </c>
      <c r="CU40">
        <f t="shared" si="46"/>
        <v>0</v>
      </c>
      <c r="CV40">
        <f t="shared" si="47"/>
        <v>0</v>
      </c>
      <c r="CW40">
        <f t="shared" si="48"/>
        <v>0</v>
      </c>
      <c r="CX40">
        <f t="shared" si="49"/>
        <v>0</v>
      </c>
      <c r="CY40">
        <f t="shared" si="50"/>
        <v>0</v>
      </c>
      <c r="CZ40">
        <f t="shared" si="51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1010</v>
      </c>
      <c r="DV40" t="s">
        <v>18</v>
      </c>
      <c r="DW40" t="s">
        <v>18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80196140</v>
      </c>
      <c r="EF40">
        <v>1</v>
      </c>
      <c r="EG40" t="s">
        <v>20</v>
      </c>
      <c r="EH40">
        <v>0</v>
      </c>
      <c r="EI40" t="s">
        <v>3</v>
      </c>
      <c r="EJ40">
        <v>4</v>
      </c>
      <c r="EK40">
        <v>0</v>
      </c>
      <c r="EL40" t="s">
        <v>21</v>
      </c>
      <c r="EM40" t="s">
        <v>22</v>
      </c>
      <c r="EO40" t="s">
        <v>3</v>
      </c>
      <c r="EQ40">
        <v>0</v>
      </c>
      <c r="ER40">
        <v>471.57</v>
      </c>
      <c r="ES40">
        <v>471.57</v>
      </c>
      <c r="ET40">
        <v>0</v>
      </c>
      <c r="EU40">
        <v>0</v>
      </c>
      <c r="EV40">
        <v>0</v>
      </c>
      <c r="EW40">
        <v>0</v>
      </c>
      <c r="EX40">
        <v>0</v>
      </c>
      <c r="FQ40">
        <v>0</v>
      </c>
      <c r="FR40"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691857670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52"/>
        <v>0</v>
      </c>
      <c r="GM40">
        <f t="shared" si="53"/>
        <v>424413</v>
      </c>
      <c r="GN40">
        <f t="shared" si="54"/>
        <v>0</v>
      </c>
      <c r="GO40">
        <f t="shared" si="55"/>
        <v>0</v>
      </c>
      <c r="GP40">
        <f t="shared" si="56"/>
        <v>424413</v>
      </c>
      <c r="GR40">
        <v>0</v>
      </c>
      <c r="GS40">
        <v>3</v>
      </c>
      <c r="GT40">
        <v>0</v>
      </c>
      <c r="GU40" t="s">
        <v>3</v>
      </c>
      <c r="GV40">
        <f t="shared" si="57"/>
        <v>0</v>
      </c>
      <c r="GW40">
        <v>1</v>
      </c>
      <c r="GX40">
        <f t="shared" si="58"/>
        <v>0</v>
      </c>
      <c r="HA40">
        <v>0</v>
      </c>
      <c r="HB40">
        <v>0</v>
      </c>
      <c r="HC40">
        <f t="shared" si="59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HS40">
        <v>0</v>
      </c>
      <c r="IK40">
        <v>0</v>
      </c>
    </row>
    <row r="41" spans="1:245" x14ac:dyDescent="0.2">
      <c r="A41">
        <v>18</v>
      </c>
      <c r="B41">
        <v>1</v>
      </c>
      <c r="C41">
        <v>27</v>
      </c>
      <c r="E41" t="s">
        <v>69</v>
      </c>
      <c r="F41" t="s">
        <v>70</v>
      </c>
      <c r="G41" t="s">
        <v>71</v>
      </c>
      <c r="H41" t="s">
        <v>18</v>
      </c>
      <c r="I41">
        <f>I39*J41</f>
        <v>-160</v>
      </c>
      <c r="J41">
        <v>-5</v>
      </c>
      <c r="K41">
        <v>-5</v>
      </c>
      <c r="O41">
        <f t="shared" si="21"/>
        <v>-9169.6</v>
      </c>
      <c r="P41">
        <f t="shared" si="22"/>
        <v>-9169.6</v>
      </c>
      <c r="Q41">
        <f t="shared" si="23"/>
        <v>0</v>
      </c>
      <c r="R41">
        <f t="shared" si="24"/>
        <v>0</v>
      </c>
      <c r="S41">
        <f t="shared" si="25"/>
        <v>0</v>
      </c>
      <c r="T41">
        <f t="shared" si="26"/>
        <v>0</v>
      </c>
      <c r="U41">
        <f t="shared" si="27"/>
        <v>0</v>
      </c>
      <c r="V41">
        <f t="shared" si="28"/>
        <v>0</v>
      </c>
      <c r="W41">
        <f t="shared" si="29"/>
        <v>0</v>
      </c>
      <c r="X41">
        <f t="shared" si="30"/>
        <v>0</v>
      </c>
      <c r="Y41">
        <f t="shared" si="31"/>
        <v>0</v>
      </c>
      <c r="AA41">
        <v>81141517</v>
      </c>
      <c r="AB41">
        <f t="shared" si="32"/>
        <v>57.31</v>
      </c>
      <c r="AC41">
        <f t="shared" si="33"/>
        <v>57.31</v>
      </c>
      <c r="AD41">
        <f t="shared" si="34"/>
        <v>0</v>
      </c>
      <c r="AE41">
        <f t="shared" si="35"/>
        <v>0</v>
      </c>
      <c r="AF41">
        <f t="shared" si="36"/>
        <v>0</v>
      </c>
      <c r="AG41">
        <f t="shared" si="37"/>
        <v>0</v>
      </c>
      <c r="AH41">
        <f t="shared" si="38"/>
        <v>0</v>
      </c>
      <c r="AI41">
        <f t="shared" si="39"/>
        <v>0</v>
      </c>
      <c r="AJ41">
        <f t="shared" si="40"/>
        <v>0</v>
      </c>
      <c r="AK41">
        <v>57.31</v>
      </c>
      <c r="AL41">
        <v>57.31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4</v>
      </c>
      <c r="BJ41" t="s">
        <v>72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1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1"/>
        <v>-9169.6</v>
      </c>
      <c r="CQ41">
        <f t="shared" si="42"/>
        <v>57.31</v>
      </c>
      <c r="CR41">
        <f t="shared" si="43"/>
        <v>0</v>
      </c>
      <c r="CS41">
        <f t="shared" si="44"/>
        <v>0</v>
      </c>
      <c r="CT41">
        <f t="shared" si="45"/>
        <v>0</v>
      </c>
      <c r="CU41">
        <f t="shared" si="46"/>
        <v>0</v>
      </c>
      <c r="CV41">
        <f t="shared" si="47"/>
        <v>0</v>
      </c>
      <c r="CW41">
        <f t="shared" si="48"/>
        <v>0</v>
      </c>
      <c r="CX41">
        <f t="shared" si="49"/>
        <v>0</v>
      </c>
      <c r="CY41">
        <f t="shared" si="50"/>
        <v>0</v>
      </c>
      <c r="CZ41">
        <f t="shared" si="51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1010</v>
      </c>
      <c r="DV41" t="s">
        <v>18</v>
      </c>
      <c r="DW41" t="s">
        <v>18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80196140</v>
      </c>
      <c r="EF41">
        <v>1</v>
      </c>
      <c r="EG41" t="s">
        <v>20</v>
      </c>
      <c r="EH41">
        <v>0</v>
      </c>
      <c r="EI41" t="s">
        <v>3</v>
      </c>
      <c r="EJ41">
        <v>4</v>
      </c>
      <c r="EK41">
        <v>0</v>
      </c>
      <c r="EL41" t="s">
        <v>21</v>
      </c>
      <c r="EM41" t="s">
        <v>22</v>
      </c>
      <c r="EO41" t="s">
        <v>3</v>
      </c>
      <c r="EQ41">
        <v>0</v>
      </c>
      <c r="ER41">
        <v>57.31</v>
      </c>
      <c r="ES41">
        <v>57.31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115426837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 t="shared" si="52"/>
        <v>0</v>
      </c>
      <c r="GM41">
        <f t="shared" si="53"/>
        <v>-9169.6</v>
      </c>
      <c r="GN41">
        <f t="shared" si="54"/>
        <v>0</v>
      </c>
      <c r="GO41">
        <f t="shared" si="55"/>
        <v>0</v>
      </c>
      <c r="GP41">
        <f t="shared" si="56"/>
        <v>-9169.6</v>
      </c>
      <c r="GR41">
        <v>0</v>
      </c>
      <c r="GS41">
        <v>3</v>
      </c>
      <c r="GT41">
        <v>0</v>
      </c>
      <c r="GU41" t="s">
        <v>3</v>
      </c>
      <c r="GV41">
        <f t="shared" si="57"/>
        <v>0</v>
      </c>
      <c r="GW41">
        <v>1</v>
      </c>
      <c r="GX41">
        <f t="shared" si="58"/>
        <v>0</v>
      </c>
      <c r="HA41">
        <v>0</v>
      </c>
      <c r="HB41">
        <v>0</v>
      </c>
      <c r="HC41">
        <f t="shared" si="59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HS41">
        <v>0</v>
      </c>
      <c r="IK41">
        <v>0</v>
      </c>
    </row>
    <row r="42" spans="1:245" x14ac:dyDescent="0.2">
      <c r="A42">
        <v>17</v>
      </c>
      <c r="B42">
        <v>1</v>
      </c>
      <c r="C42">
        <f>ROW(SmtRes!A32)</f>
        <v>32</v>
      </c>
      <c r="D42">
        <f>ROW(EtalonRes!A22)</f>
        <v>22</v>
      </c>
      <c r="E42" t="s">
        <v>73</v>
      </c>
      <c r="F42" t="s">
        <v>74</v>
      </c>
      <c r="G42" t="s">
        <v>75</v>
      </c>
      <c r="H42" t="s">
        <v>50</v>
      </c>
      <c r="I42">
        <f>ROUND(800/100,9)</f>
        <v>8</v>
      </c>
      <c r="J42">
        <v>0</v>
      </c>
      <c r="K42">
        <f>ROUND(800/100,9)</f>
        <v>8</v>
      </c>
      <c r="O42">
        <f t="shared" si="21"/>
        <v>39484.239999999998</v>
      </c>
      <c r="P42">
        <f t="shared" si="22"/>
        <v>0</v>
      </c>
      <c r="Q42">
        <f t="shared" si="23"/>
        <v>0</v>
      </c>
      <c r="R42">
        <f t="shared" si="24"/>
        <v>0</v>
      </c>
      <c r="S42">
        <f t="shared" si="25"/>
        <v>39484.239999999998</v>
      </c>
      <c r="T42">
        <f t="shared" si="26"/>
        <v>0</v>
      </c>
      <c r="U42">
        <f t="shared" si="27"/>
        <v>66.319999999999993</v>
      </c>
      <c r="V42">
        <f t="shared" si="28"/>
        <v>0</v>
      </c>
      <c r="W42">
        <f t="shared" si="29"/>
        <v>0</v>
      </c>
      <c r="X42">
        <f t="shared" si="30"/>
        <v>27638.97</v>
      </c>
      <c r="Y42">
        <f t="shared" si="31"/>
        <v>3948.42</v>
      </c>
      <c r="AA42">
        <v>81141517</v>
      </c>
      <c r="AB42">
        <f t="shared" si="32"/>
        <v>4935.53</v>
      </c>
      <c r="AC42">
        <f t="shared" si="33"/>
        <v>0</v>
      </c>
      <c r="AD42">
        <f t="shared" si="34"/>
        <v>0</v>
      </c>
      <c r="AE42">
        <f t="shared" si="35"/>
        <v>0</v>
      </c>
      <c r="AF42">
        <f t="shared" si="36"/>
        <v>4935.53</v>
      </c>
      <c r="AG42">
        <f t="shared" si="37"/>
        <v>0</v>
      </c>
      <c r="AH42">
        <f t="shared" si="38"/>
        <v>8.2899999999999991</v>
      </c>
      <c r="AI42">
        <f t="shared" si="39"/>
        <v>0</v>
      </c>
      <c r="AJ42">
        <f t="shared" si="40"/>
        <v>0</v>
      </c>
      <c r="AK42">
        <v>4935.53</v>
      </c>
      <c r="AL42">
        <v>0</v>
      </c>
      <c r="AM42">
        <v>0</v>
      </c>
      <c r="AN42">
        <v>0</v>
      </c>
      <c r="AO42">
        <v>4935.53</v>
      </c>
      <c r="AP42">
        <v>0</v>
      </c>
      <c r="AQ42">
        <v>8.2899999999999991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76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1"/>
        <v>39484.239999999998</v>
      </c>
      <c r="CQ42">
        <f t="shared" si="42"/>
        <v>0</v>
      </c>
      <c r="CR42">
        <f t="shared" si="43"/>
        <v>0</v>
      </c>
      <c r="CS42">
        <f t="shared" si="44"/>
        <v>0</v>
      </c>
      <c r="CT42">
        <f t="shared" si="45"/>
        <v>4935.53</v>
      </c>
      <c r="CU42">
        <f t="shared" si="46"/>
        <v>0</v>
      </c>
      <c r="CV42">
        <f t="shared" si="47"/>
        <v>8.2899999999999991</v>
      </c>
      <c r="CW42">
        <f t="shared" si="48"/>
        <v>0</v>
      </c>
      <c r="CX42">
        <f t="shared" si="49"/>
        <v>0</v>
      </c>
      <c r="CY42">
        <f t="shared" si="50"/>
        <v>27638.967999999997</v>
      </c>
      <c r="CZ42">
        <f t="shared" si="51"/>
        <v>3948.4239999999995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1003</v>
      </c>
      <c r="DV42" t="s">
        <v>50</v>
      </c>
      <c r="DW42" t="s">
        <v>50</v>
      </c>
      <c r="DX42">
        <v>100</v>
      </c>
      <c r="DZ42" t="s">
        <v>3</v>
      </c>
      <c r="EA42" t="s">
        <v>3</v>
      </c>
      <c r="EB42" t="s">
        <v>3</v>
      </c>
      <c r="EC42" t="s">
        <v>3</v>
      </c>
      <c r="EE42">
        <v>80196140</v>
      </c>
      <c r="EF42">
        <v>1</v>
      </c>
      <c r="EG42" t="s">
        <v>20</v>
      </c>
      <c r="EH42">
        <v>0</v>
      </c>
      <c r="EI42" t="s">
        <v>3</v>
      </c>
      <c r="EJ42">
        <v>4</v>
      </c>
      <c r="EK42">
        <v>0</v>
      </c>
      <c r="EL42" t="s">
        <v>21</v>
      </c>
      <c r="EM42" t="s">
        <v>22</v>
      </c>
      <c r="EO42" t="s">
        <v>3</v>
      </c>
      <c r="EQ42">
        <v>0</v>
      </c>
      <c r="ER42">
        <v>4935.53</v>
      </c>
      <c r="ES42">
        <v>0</v>
      </c>
      <c r="ET42">
        <v>0</v>
      </c>
      <c r="EU42">
        <v>0</v>
      </c>
      <c r="EV42">
        <v>4935.53</v>
      </c>
      <c r="EW42">
        <v>8.2899999999999991</v>
      </c>
      <c r="EX42">
        <v>0</v>
      </c>
      <c r="EY42">
        <v>0</v>
      </c>
      <c r="FQ42">
        <v>0</v>
      </c>
      <c r="FR42"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204190657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52"/>
        <v>0</v>
      </c>
      <c r="GM42">
        <f t="shared" si="53"/>
        <v>71071.63</v>
      </c>
      <c r="GN42">
        <f t="shared" si="54"/>
        <v>0</v>
      </c>
      <c r="GO42">
        <f t="shared" si="55"/>
        <v>0</v>
      </c>
      <c r="GP42">
        <f t="shared" si="56"/>
        <v>71071.63</v>
      </c>
      <c r="GR42">
        <v>0</v>
      </c>
      <c r="GS42">
        <v>3</v>
      </c>
      <c r="GT42">
        <v>0</v>
      </c>
      <c r="GU42" t="s">
        <v>3</v>
      </c>
      <c r="GV42">
        <f t="shared" si="57"/>
        <v>0</v>
      </c>
      <c r="GW42">
        <v>1</v>
      </c>
      <c r="GX42">
        <f t="shared" si="58"/>
        <v>0</v>
      </c>
      <c r="HA42">
        <v>0</v>
      </c>
      <c r="HB42">
        <v>0</v>
      </c>
      <c r="HC42">
        <f t="shared" si="59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HS42">
        <v>0</v>
      </c>
      <c r="IK42">
        <v>0</v>
      </c>
    </row>
    <row r="43" spans="1:245" x14ac:dyDescent="0.2">
      <c r="A43">
        <v>18</v>
      </c>
      <c r="B43">
        <v>1</v>
      </c>
      <c r="C43">
        <v>31</v>
      </c>
      <c r="E43" t="s">
        <v>77</v>
      </c>
      <c r="F43" t="s">
        <v>24</v>
      </c>
      <c r="G43" t="s">
        <v>78</v>
      </c>
      <c r="H43" t="s">
        <v>59</v>
      </c>
      <c r="I43">
        <f>I42*J43</f>
        <v>800</v>
      </c>
      <c r="J43">
        <v>100</v>
      </c>
      <c r="K43">
        <v>100</v>
      </c>
      <c r="O43">
        <f t="shared" si="21"/>
        <v>304864</v>
      </c>
      <c r="P43">
        <f t="shared" si="22"/>
        <v>304864</v>
      </c>
      <c r="Q43">
        <f t="shared" si="23"/>
        <v>0</v>
      </c>
      <c r="R43">
        <f t="shared" si="24"/>
        <v>0</v>
      </c>
      <c r="S43">
        <f t="shared" si="25"/>
        <v>0</v>
      </c>
      <c r="T43">
        <f t="shared" si="26"/>
        <v>0</v>
      </c>
      <c r="U43">
        <f t="shared" si="27"/>
        <v>0</v>
      </c>
      <c r="V43">
        <f t="shared" si="28"/>
        <v>0</v>
      </c>
      <c r="W43">
        <f t="shared" si="29"/>
        <v>0</v>
      </c>
      <c r="X43">
        <f t="shared" si="30"/>
        <v>0</v>
      </c>
      <c r="Y43">
        <f t="shared" si="31"/>
        <v>0</v>
      </c>
      <c r="AA43">
        <v>81141517</v>
      </c>
      <c r="AB43">
        <f t="shared" si="32"/>
        <v>381.08</v>
      </c>
      <c r="AC43">
        <f t="shared" si="33"/>
        <v>381.08</v>
      </c>
      <c r="AD43">
        <f t="shared" si="34"/>
        <v>0</v>
      </c>
      <c r="AE43">
        <f t="shared" si="35"/>
        <v>0</v>
      </c>
      <c r="AF43">
        <f t="shared" si="36"/>
        <v>0</v>
      </c>
      <c r="AG43">
        <f t="shared" si="37"/>
        <v>0</v>
      </c>
      <c r="AH43">
        <f t="shared" si="38"/>
        <v>0</v>
      </c>
      <c r="AI43">
        <f t="shared" si="39"/>
        <v>0</v>
      </c>
      <c r="AJ43">
        <f t="shared" si="40"/>
        <v>0</v>
      </c>
      <c r="AK43">
        <v>381.08</v>
      </c>
      <c r="AL43">
        <v>381.08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3</v>
      </c>
      <c r="BI43">
        <v>4</v>
      </c>
      <c r="BJ43" t="s">
        <v>3</v>
      </c>
      <c r="BM43">
        <v>0</v>
      </c>
      <c r="BN43">
        <v>0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1"/>
        <v>304864</v>
      </c>
      <c r="CQ43">
        <f t="shared" si="42"/>
        <v>381.08</v>
      </c>
      <c r="CR43">
        <f t="shared" si="43"/>
        <v>0</v>
      </c>
      <c r="CS43">
        <f t="shared" si="44"/>
        <v>0</v>
      </c>
      <c r="CT43">
        <f t="shared" si="45"/>
        <v>0</v>
      </c>
      <c r="CU43">
        <f t="shared" si="46"/>
        <v>0</v>
      </c>
      <c r="CV43">
        <f t="shared" si="47"/>
        <v>0</v>
      </c>
      <c r="CW43">
        <f t="shared" si="48"/>
        <v>0</v>
      </c>
      <c r="CX43">
        <f t="shared" si="49"/>
        <v>0</v>
      </c>
      <c r="CY43">
        <f t="shared" si="50"/>
        <v>0</v>
      </c>
      <c r="CZ43">
        <f t="shared" si="51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59</v>
      </c>
      <c r="DW43" t="s">
        <v>59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80196140</v>
      </c>
      <c r="EF43">
        <v>1</v>
      </c>
      <c r="EG43" t="s">
        <v>20</v>
      </c>
      <c r="EH43">
        <v>0</v>
      </c>
      <c r="EI43" t="s">
        <v>3</v>
      </c>
      <c r="EJ43">
        <v>4</v>
      </c>
      <c r="EK43">
        <v>0</v>
      </c>
      <c r="EL43" t="s">
        <v>21</v>
      </c>
      <c r="EM43" t="s">
        <v>22</v>
      </c>
      <c r="EO43" t="s">
        <v>3</v>
      </c>
      <c r="EQ43">
        <v>0</v>
      </c>
      <c r="ER43">
        <v>381.08</v>
      </c>
      <c r="ES43">
        <v>381.08</v>
      </c>
      <c r="ET43">
        <v>0</v>
      </c>
      <c r="EU43">
        <v>0</v>
      </c>
      <c r="EV43">
        <v>0</v>
      </c>
      <c r="EW43">
        <v>0</v>
      </c>
      <c r="EX43">
        <v>0</v>
      </c>
      <c r="EZ43">
        <v>5</v>
      </c>
      <c r="FC43">
        <v>1</v>
      </c>
      <c r="FD43">
        <v>18</v>
      </c>
      <c r="FF43">
        <v>457.29</v>
      </c>
      <c r="FQ43">
        <v>0</v>
      </c>
      <c r="FR43">
        <v>0</v>
      </c>
      <c r="FS43">
        <v>0</v>
      </c>
      <c r="FX43">
        <v>70</v>
      </c>
      <c r="FY43">
        <v>10</v>
      </c>
      <c r="GA43" t="s">
        <v>79</v>
      </c>
      <c r="GD43">
        <v>0</v>
      </c>
      <c r="GF43">
        <v>129704407</v>
      </c>
      <c r="GG43">
        <v>2</v>
      </c>
      <c r="GH43">
        <v>3</v>
      </c>
      <c r="GI43">
        <v>-2</v>
      </c>
      <c r="GJ43">
        <v>0</v>
      </c>
      <c r="GK43">
        <f>ROUND(R43*(R12)/100,2)</f>
        <v>0</v>
      </c>
      <c r="GL43">
        <f t="shared" si="52"/>
        <v>0</v>
      </c>
      <c r="GM43">
        <f t="shared" si="53"/>
        <v>304864</v>
      </c>
      <c r="GN43">
        <f t="shared" si="54"/>
        <v>0</v>
      </c>
      <c r="GO43">
        <f t="shared" si="55"/>
        <v>0</v>
      </c>
      <c r="GP43">
        <f t="shared" si="56"/>
        <v>304864</v>
      </c>
      <c r="GR43">
        <v>1</v>
      </c>
      <c r="GS43">
        <v>1</v>
      </c>
      <c r="GT43">
        <v>0</v>
      </c>
      <c r="GU43" t="s">
        <v>3</v>
      </c>
      <c r="GV43">
        <f t="shared" si="57"/>
        <v>0</v>
      </c>
      <c r="GW43">
        <v>1</v>
      </c>
      <c r="GX43">
        <f t="shared" si="58"/>
        <v>0</v>
      </c>
      <c r="HA43">
        <v>0</v>
      </c>
      <c r="HB43">
        <v>0</v>
      </c>
      <c r="HC43">
        <f t="shared" si="59"/>
        <v>0</v>
      </c>
      <c r="HE43" t="s">
        <v>27</v>
      </c>
      <c r="HF43" t="s">
        <v>27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HS43">
        <v>0</v>
      </c>
      <c r="IK43">
        <v>0</v>
      </c>
    </row>
    <row r="44" spans="1:245" x14ac:dyDescent="0.2">
      <c r="A44">
        <v>18</v>
      </c>
      <c r="B44">
        <v>1</v>
      </c>
      <c r="C44">
        <v>32</v>
      </c>
      <c r="E44" t="s">
        <v>80</v>
      </c>
      <c r="F44" t="s">
        <v>24</v>
      </c>
      <c r="G44" t="s">
        <v>81</v>
      </c>
      <c r="H44" t="s">
        <v>18</v>
      </c>
      <c r="I44">
        <f>I42*J44</f>
        <v>30</v>
      </c>
      <c r="J44">
        <v>3.75</v>
      </c>
      <c r="K44">
        <v>3.75</v>
      </c>
      <c r="O44">
        <f t="shared" si="21"/>
        <v>23175.599999999999</v>
      </c>
      <c r="P44">
        <f t="shared" si="22"/>
        <v>23175.599999999999</v>
      </c>
      <c r="Q44">
        <f t="shared" si="23"/>
        <v>0</v>
      </c>
      <c r="R44">
        <f t="shared" si="24"/>
        <v>0</v>
      </c>
      <c r="S44">
        <f t="shared" si="25"/>
        <v>0</v>
      </c>
      <c r="T44">
        <f t="shared" si="26"/>
        <v>0</v>
      </c>
      <c r="U44">
        <f t="shared" si="27"/>
        <v>0</v>
      </c>
      <c r="V44">
        <f t="shared" si="28"/>
        <v>0</v>
      </c>
      <c r="W44">
        <f t="shared" si="29"/>
        <v>0</v>
      </c>
      <c r="X44">
        <f t="shared" si="30"/>
        <v>0</v>
      </c>
      <c r="Y44">
        <f t="shared" si="31"/>
        <v>0</v>
      </c>
      <c r="AA44">
        <v>81141517</v>
      </c>
      <c r="AB44">
        <f t="shared" si="32"/>
        <v>772.52</v>
      </c>
      <c r="AC44">
        <f t="shared" si="33"/>
        <v>772.52</v>
      </c>
      <c r="AD44">
        <f t="shared" si="34"/>
        <v>0</v>
      </c>
      <c r="AE44">
        <f t="shared" si="35"/>
        <v>0</v>
      </c>
      <c r="AF44">
        <f t="shared" si="36"/>
        <v>0</v>
      </c>
      <c r="AG44">
        <f t="shared" si="37"/>
        <v>0</v>
      </c>
      <c r="AH44">
        <f t="shared" si="38"/>
        <v>0</v>
      </c>
      <c r="AI44">
        <f t="shared" si="39"/>
        <v>0</v>
      </c>
      <c r="AJ44">
        <f t="shared" si="40"/>
        <v>0</v>
      </c>
      <c r="AK44">
        <v>772.52</v>
      </c>
      <c r="AL44">
        <v>772.52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70</v>
      </c>
      <c r="AU44">
        <v>10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4</v>
      </c>
      <c r="BJ44" t="s">
        <v>3</v>
      </c>
      <c r="BM44">
        <v>0</v>
      </c>
      <c r="BN44">
        <v>0</v>
      </c>
      <c r="BO44" t="s">
        <v>3</v>
      </c>
      <c r="BP44">
        <v>0</v>
      </c>
      <c r="BQ44">
        <v>1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70</v>
      </c>
      <c r="CA44">
        <v>10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1"/>
        <v>23175.599999999999</v>
      </c>
      <c r="CQ44">
        <f t="shared" si="42"/>
        <v>772.52</v>
      </c>
      <c r="CR44">
        <f t="shared" si="43"/>
        <v>0</v>
      </c>
      <c r="CS44">
        <f t="shared" si="44"/>
        <v>0</v>
      </c>
      <c r="CT44">
        <f t="shared" si="45"/>
        <v>0</v>
      </c>
      <c r="CU44">
        <f t="shared" si="46"/>
        <v>0</v>
      </c>
      <c r="CV44">
        <f t="shared" si="47"/>
        <v>0</v>
      </c>
      <c r="CW44">
        <f t="shared" si="48"/>
        <v>0</v>
      </c>
      <c r="CX44">
        <f t="shared" si="49"/>
        <v>0</v>
      </c>
      <c r="CY44">
        <f t="shared" si="50"/>
        <v>0</v>
      </c>
      <c r="CZ44">
        <f t="shared" si="51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1010</v>
      </c>
      <c r="DV44" t="s">
        <v>18</v>
      </c>
      <c r="DW44" t="s">
        <v>18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80196140</v>
      </c>
      <c r="EF44">
        <v>1</v>
      </c>
      <c r="EG44" t="s">
        <v>20</v>
      </c>
      <c r="EH44">
        <v>0</v>
      </c>
      <c r="EI44" t="s">
        <v>3</v>
      </c>
      <c r="EJ44">
        <v>4</v>
      </c>
      <c r="EK44">
        <v>0</v>
      </c>
      <c r="EL44" t="s">
        <v>21</v>
      </c>
      <c r="EM44" t="s">
        <v>22</v>
      </c>
      <c r="EO44" t="s">
        <v>3</v>
      </c>
      <c r="EQ44">
        <v>0</v>
      </c>
      <c r="ER44">
        <v>772.52</v>
      </c>
      <c r="ES44">
        <v>772.52</v>
      </c>
      <c r="ET44">
        <v>0</v>
      </c>
      <c r="EU44">
        <v>0</v>
      </c>
      <c r="EV44">
        <v>0</v>
      </c>
      <c r="EW44">
        <v>0</v>
      </c>
      <c r="EX44">
        <v>0</v>
      </c>
      <c r="EZ44">
        <v>5</v>
      </c>
      <c r="FC44">
        <v>1</v>
      </c>
      <c r="FD44">
        <v>18</v>
      </c>
      <c r="FF44">
        <v>927.02</v>
      </c>
      <c r="FQ44">
        <v>0</v>
      </c>
      <c r="FR44">
        <v>0</v>
      </c>
      <c r="FS44">
        <v>0</v>
      </c>
      <c r="FX44">
        <v>70</v>
      </c>
      <c r="FY44">
        <v>10</v>
      </c>
      <c r="GA44" t="s">
        <v>82</v>
      </c>
      <c r="GD44">
        <v>0</v>
      </c>
      <c r="GF44">
        <v>1578297991</v>
      </c>
      <c r="GG44">
        <v>2</v>
      </c>
      <c r="GH44">
        <v>3</v>
      </c>
      <c r="GI44">
        <v>-2</v>
      </c>
      <c r="GJ44">
        <v>0</v>
      </c>
      <c r="GK44">
        <f>ROUND(R44*(R12)/100,2)</f>
        <v>0</v>
      </c>
      <c r="GL44">
        <f t="shared" si="52"/>
        <v>0</v>
      </c>
      <c r="GM44">
        <f t="shared" si="53"/>
        <v>23175.599999999999</v>
      </c>
      <c r="GN44">
        <f t="shared" si="54"/>
        <v>0</v>
      </c>
      <c r="GO44">
        <f t="shared" si="55"/>
        <v>0</v>
      </c>
      <c r="GP44">
        <f t="shared" si="56"/>
        <v>23175.599999999999</v>
      </c>
      <c r="GR44">
        <v>1</v>
      </c>
      <c r="GS44">
        <v>1</v>
      </c>
      <c r="GT44">
        <v>0</v>
      </c>
      <c r="GU44" t="s">
        <v>3</v>
      </c>
      <c r="GV44">
        <f t="shared" si="57"/>
        <v>0</v>
      </c>
      <c r="GW44">
        <v>1</v>
      </c>
      <c r="GX44">
        <f t="shared" si="58"/>
        <v>0</v>
      </c>
      <c r="HA44">
        <v>0</v>
      </c>
      <c r="HB44">
        <v>0</v>
      </c>
      <c r="HC44">
        <f t="shared" si="59"/>
        <v>0</v>
      </c>
      <c r="HE44" t="s">
        <v>27</v>
      </c>
      <c r="HF44" t="s">
        <v>27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HS44">
        <v>0</v>
      </c>
      <c r="IK44">
        <v>0</v>
      </c>
    </row>
    <row r="45" spans="1:245" x14ac:dyDescent="0.2">
      <c r="A45">
        <v>17</v>
      </c>
      <c r="B45">
        <v>1</v>
      </c>
      <c r="C45">
        <f>ROW(SmtRes!A38)</f>
        <v>38</v>
      </c>
      <c r="D45">
        <f>ROW(EtalonRes!A23)</f>
        <v>23</v>
      </c>
      <c r="E45" t="s">
        <v>83</v>
      </c>
      <c r="F45" t="s">
        <v>84</v>
      </c>
      <c r="G45" t="s">
        <v>85</v>
      </c>
      <c r="H45" t="s">
        <v>86</v>
      </c>
      <c r="I45">
        <f>ROUND(90/100,9)</f>
        <v>0.9</v>
      </c>
      <c r="J45">
        <v>0</v>
      </c>
      <c r="K45">
        <f>ROUND(90/100,9)</f>
        <v>0.9</v>
      </c>
      <c r="O45">
        <f t="shared" si="21"/>
        <v>132482.48000000001</v>
      </c>
      <c r="P45">
        <f t="shared" si="22"/>
        <v>0</v>
      </c>
      <c r="Q45">
        <f t="shared" si="23"/>
        <v>0</v>
      </c>
      <c r="R45">
        <f t="shared" si="24"/>
        <v>0</v>
      </c>
      <c r="S45">
        <f t="shared" si="25"/>
        <v>132482.48000000001</v>
      </c>
      <c r="T45">
        <f t="shared" si="26"/>
        <v>0</v>
      </c>
      <c r="U45">
        <f t="shared" si="27"/>
        <v>222.52500000000001</v>
      </c>
      <c r="V45">
        <f t="shared" si="28"/>
        <v>0</v>
      </c>
      <c r="W45">
        <f t="shared" si="29"/>
        <v>0</v>
      </c>
      <c r="X45">
        <f t="shared" si="30"/>
        <v>92737.74</v>
      </c>
      <c r="Y45">
        <f t="shared" si="31"/>
        <v>13248.25</v>
      </c>
      <c r="AA45">
        <v>81141517</v>
      </c>
      <c r="AB45">
        <f t="shared" si="32"/>
        <v>147202.76</v>
      </c>
      <c r="AC45">
        <f t="shared" si="33"/>
        <v>0</v>
      </c>
      <c r="AD45">
        <f t="shared" si="34"/>
        <v>0</v>
      </c>
      <c r="AE45">
        <f t="shared" si="35"/>
        <v>0</v>
      </c>
      <c r="AF45">
        <f t="shared" si="36"/>
        <v>147202.76</v>
      </c>
      <c r="AG45">
        <f t="shared" si="37"/>
        <v>0</v>
      </c>
      <c r="AH45">
        <f t="shared" si="38"/>
        <v>247.25</v>
      </c>
      <c r="AI45">
        <f t="shared" si="39"/>
        <v>0</v>
      </c>
      <c r="AJ45">
        <f t="shared" si="40"/>
        <v>0</v>
      </c>
      <c r="AK45">
        <v>147202.76</v>
      </c>
      <c r="AL45">
        <v>0</v>
      </c>
      <c r="AM45">
        <v>0</v>
      </c>
      <c r="AN45">
        <v>0</v>
      </c>
      <c r="AO45">
        <v>147202.76</v>
      </c>
      <c r="AP45">
        <v>0</v>
      </c>
      <c r="AQ45">
        <v>247.25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4</v>
      </c>
      <c r="BJ45" t="s">
        <v>87</v>
      </c>
      <c r="BM45">
        <v>0</v>
      </c>
      <c r="BN45">
        <v>0</v>
      </c>
      <c r="BO45" t="s">
        <v>3</v>
      </c>
      <c r="BP45">
        <v>0</v>
      </c>
      <c r="BQ45">
        <v>1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1"/>
        <v>132482.48000000001</v>
      </c>
      <c r="CQ45">
        <f t="shared" si="42"/>
        <v>0</v>
      </c>
      <c r="CR45">
        <f t="shared" si="43"/>
        <v>0</v>
      </c>
      <c r="CS45">
        <f t="shared" si="44"/>
        <v>0</v>
      </c>
      <c r="CT45">
        <f t="shared" si="45"/>
        <v>147202.76</v>
      </c>
      <c r="CU45">
        <f t="shared" si="46"/>
        <v>0</v>
      </c>
      <c r="CV45">
        <f t="shared" si="47"/>
        <v>247.25</v>
      </c>
      <c r="CW45">
        <f t="shared" si="48"/>
        <v>0</v>
      </c>
      <c r="CX45">
        <f t="shared" si="49"/>
        <v>0</v>
      </c>
      <c r="CY45">
        <f t="shared" si="50"/>
        <v>92737.736000000019</v>
      </c>
      <c r="CZ45">
        <f t="shared" si="51"/>
        <v>13248.248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1010</v>
      </c>
      <c r="DV45" t="s">
        <v>86</v>
      </c>
      <c r="DW45" t="s">
        <v>86</v>
      </c>
      <c r="DX45">
        <v>100</v>
      </c>
      <c r="DZ45" t="s">
        <v>3</v>
      </c>
      <c r="EA45" t="s">
        <v>3</v>
      </c>
      <c r="EB45" t="s">
        <v>3</v>
      </c>
      <c r="EC45" t="s">
        <v>3</v>
      </c>
      <c r="EE45">
        <v>80196140</v>
      </c>
      <c r="EF45">
        <v>1</v>
      </c>
      <c r="EG45" t="s">
        <v>20</v>
      </c>
      <c r="EH45">
        <v>0</v>
      </c>
      <c r="EI45" t="s">
        <v>3</v>
      </c>
      <c r="EJ45">
        <v>4</v>
      </c>
      <c r="EK45">
        <v>0</v>
      </c>
      <c r="EL45" t="s">
        <v>21</v>
      </c>
      <c r="EM45" t="s">
        <v>22</v>
      </c>
      <c r="EO45" t="s">
        <v>3</v>
      </c>
      <c r="EQ45">
        <v>0</v>
      </c>
      <c r="ER45">
        <v>147202.76</v>
      </c>
      <c r="ES45">
        <v>0</v>
      </c>
      <c r="ET45">
        <v>0</v>
      </c>
      <c r="EU45">
        <v>0</v>
      </c>
      <c r="EV45">
        <v>147202.76</v>
      </c>
      <c r="EW45">
        <v>247.25</v>
      </c>
      <c r="EX45">
        <v>0</v>
      </c>
      <c r="EY45">
        <v>0</v>
      </c>
      <c r="FQ45">
        <v>0</v>
      </c>
      <c r="FR45">
        <v>0</v>
      </c>
      <c r="FS45">
        <v>0</v>
      </c>
      <c r="FX45">
        <v>70</v>
      </c>
      <c r="FY45">
        <v>10</v>
      </c>
      <c r="GA45" t="s">
        <v>3</v>
      </c>
      <c r="GD45">
        <v>0</v>
      </c>
      <c r="GF45">
        <v>749146824</v>
      </c>
      <c r="GG45">
        <v>2</v>
      </c>
      <c r="GH45">
        <v>1</v>
      </c>
      <c r="GI45">
        <v>-2</v>
      </c>
      <c r="GJ45">
        <v>0</v>
      </c>
      <c r="GK45">
        <f>ROUND(R45*(R12)/100,2)</f>
        <v>0</v>
      </c>
      <c r="GL45">
        <f t="shared" si="52"/>
        <v>0</v>
      </c>
      <c r="GM45">
        <f t="shared" si="53"/>
        <v>238468.47</v>
      </c>
      <c r="GN45">
        <f t="shared" si="54"/>
        <v>0</v>
      </c>
      <c r="GO45">
        <f t="shared" si="55"/>
        <v>0</v>
      </c>
      <c r="GP45">
        <f t="shared" si="56"/>
        <v>238468.47</v>
      </c>
      <c r="GR45">
        <v>0</v>
      </c>
      <c r="GS45">
        <v>3</v>
      </c>
      <c r="GT45">
        <v>0</v>
      </c>
      <c r="GU45" t="s">
        <v>3</v>
      </c>
      <c r="GV45">
        <f t="shared" si="57"/>
        <v>0</v>
      </c>
      <c r="GW45">
        <v>1</v>
      </c>
      <c r="GX45">
        <f t="shared" si="58"/>
        <v>0</v>
      </c>
      <c r="HA45">
        <v>0</v>
      </c>
      <c r="HB45">
        <v>0</v>
      </c>
      <c r="HC45">
        <f t="shared" si="59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HS45">
        <v>0</v>
      </c>
      <c r="IK45">
        <v>0</v>
      </c>
    </row>
    <row r="46" spans="1:245" x14ac:dyDescent="0.2">
      <c r="A46">
        <v>18</v>
      </c>
      <c r="B46">
        <v>1</v>
      </c>
      <c r="C46">
        <v>36</v>
      </c>
      <c r="E46" t="s">
        <v>88</v>
      </c>
      <c r="F46" t="s">
        <v>24</v>
      </c>
      <c r="G46" t="s">
        <v>89</v>
      </c>
      <c r="H46" t="s">
        <v>18</v>
      </c>
      <c r="I46">
        <f>I45*J46</f>
        <v>16</v>
      </c>
      <c r="J46">
        <v>17.777777777777779</v>
      </c>
      <c r="K46">
        <v>17.777778000000001</v>
      </c>
      <c r="O46">
        <f t="shared" si="21"/>
        <v>8569.44</v>
      </c>
      <c r="P46">
        <f t="shared" si="22"/>
        <v>8569.44</v>
      </c>
      <c r="Q46">
        <f t="shared" si="23"/>
        <v>0</v>
      </c>
      <c r="R46">
        <f t="shared" si="24"/>
        <v>0</v>
      </c>
      <c r="S46">
        <f t="shared" si="25"/>
        <v>0</v>
      </c>
      <c r="T46">
        <f t="shared" si="26"/>
        <v>0</v>
      </c>
      <c r="U46">
        <f t="shared" si="27"/>
        <v>0</v>
      </c>
      <c r="V46">
        <f t="shared" si="28"/>
        <v>0</v>
      </c>
      <c r="W46">
        <f t="shared" si="29"/>
        <v>0</v>
      </c>
      <c r="X46">
        <f t="shared" si="30"/>
        <v>0</v>
      </c>
      <c r="Y46">
        <f t="shared" si="31"/>
        <v>0</v>
      </c>
      <c r="AA46">
        <v>81141517</v>
      </c>
      <c r="AB46">
        <f t="shared" si="32"/>
        <v>535.59</v>
      </c>
      <c r="AC46">
        <f t="shared" si="33"/>
        <v>535.59</v>
      </c>
      <c r="AD46">
        <f t="shared" si="34"/>
        <v>0</v>
      </c>
      <c r="AE46">
        <f t="shared" si="35"/>
        <v>0</v>
      </c>
      <c r="AF46">
        <f t="shared" si="36"/>
        <v>0</v>
      </c>
      <c r="AG46">
        <f t="shared" si="37"/>
        <v>0</v>
      </c>
      <c r="AH46">
        <f t="shared" si="38"/>
        <v>0</v>
      </c>
      <c r="AI46">
        <f t="shared" si="39"/>
        <v>0</v>
      </c>
      <c r="AJ46">
        <f t="shared" si="40"/>
        <v>0</v>
      </c>
      <c r="AK46">
        <v>535.59</v>
      </c>
      <c r="AL46">
        <v>535.59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4</v>
      </c>
      <c r="BJ46" t="s">
        <v>3</v>
      </c>
      <c r="BM46">
        <v>0</v>
      </c>
      <c r="BN46">
        <v>0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1"/>
        <v>8569.44</v>
      </c>
      <c r="CQ46">
        <f t="shared" si="42"/>
        <v>535.59</v>
      </c>
      <c r="CR46">
        <f t="shared" si="43"/>
        <v>0</v>
      </c>
      <c r="CS46">
        <f t="shared" si="44"/>
        <v>0</v>
      </c>
      <c r="CT46">
        <f t="shared" si="45"/>
        <v>0</v>
      </c>
      <c r="CU46">
        <f t="shared" si="46"/>
        <v>0</v>
      </c>
      <c r="CV46">
        <f t="shared" si="47"/>
        <v>0</v>
      </c>
      <c r="CW46">
        <f t="shared" si="48"/>
        <v>0</v>
      </c>
      <c r="CX46">
        <f t="shared" si="49"/>
        <v>0</v>
      </c>
      <c r="CY46">
        <f t="shared" si="50"/>
        <v>0</v>
      </c>
      <c r="CZ46">
        <f t="shared" si="51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1010</v>
      </c>
      <c r="DV46" t="s">
        <v>18</v>
      </c>
      <c r="DW46" t="s">
        <v>18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80196140</v>
      </c>
      <c r="EF46">
        <v>1</v>
      </c>
      <c r="EG46" t="s">
        <v>20</v>
      </c>
      <c r="EH46">
        <v>0</v>
      </c>
      <c r="EI46" t="s">
        <v>3</v>
      </c>
      <c r="EJ46">
        <v>4</v>
      </c>
      <c r="EK46">
        <v>0</v>
      </c>
      <c r="EL46" t="s">
        <v>21</v>
      </c>
      <c r="EM46" t="s">
        <v>22</v>
      </c>
      <c r="EO46" t="s">
        <v>3</v>
      </c>
      <c r="EQ46">
        <v>0</v>
      </c>
      <c r="ER46">
        <v>535.59</v>
      </c>
      <c r="ES46">
        <v>535.59</v>
      </c>
      <c r="ET46">
        <v>0</v>
      </c>
      <c r="EU46">
        <v>0</v>
      </c>
      <c r="EV46">
        <v>0</v>
      </c>
      <c r="EW46">
        <v>0</v>
      </c>
      <c r="EX46">
        <v>0</v>
      </c>
      <c r="EZ46">
        <v>5</v>
      </c>
      <c r="FC46">
        <v>1</v>
      </c>
      <c r="FD46">
        <v>18</v>
      </c>
      <c r="FF46">
        <v>642.71</v>
      </c>
      <c r="FQ46">
        <v>0</v>
      </c>
      <c r="FR46">
        <v>0</v>
      </c>
      <c r="FS46">
        <v>0</v>
      </c>
      <c r="FX46">
        <v>70</v>
      </c>
      <c r="FY46">
        <v>10</v>
      </c>
      <c r="GA46" t="s">
        <v>90</v>
      </c>
      <c r="GD46">
        <v>0</v>
      </c>
      <c r="GF46">
        <v>-1432749690</v>
      </c>
      <c r="GG46">
        <v>2</v>
      </c>
      <c r="GH46">
        <v>3</v>
      </c>
      <c r="GI46">
        <v>-2</v>
      </c>
      <c r="GJ46">
        <v>0</v>
      </c>
      <c r="GK46">
        <f>ROUND(R46*(R12)/100,2)</f>
        <v>0</v>
      </c>
      <c r="GL46">
        <f t="shared" si="52"/>
        <v>0</v>
      </c>
      <c r="GM46">
        <f t="shared" si="53"/>
        <v>8569.44</v>
      </c>
      <c r="GN46">
        <f t="shared" si="54"/>
        <v>0</v>
      </c>
      <c r="GO46">
        <f t="shared" si="55"/>
        <v>0</v>
      </c>
      <c r="GP46">
        <f t="shared" si="56"/>
        <v>8569.44</v>
      </c>
      <c r="GR46">
        <v>1</v>
      </c>
      <c r="GS46">
        <v>1</v>
      </c>
      <c r="GT46">
        <v>0</v>
      </c>
      <c r="GU46" t="s">
        <v>3</v>
      </c>
      <c r="GV46">
        <f t="shared" si="57"/>
        <v>0</v>
      </c>
      <c r="GW46">
        <v>1</v>
      </c>
      <c r="GX46">
        <f t="shared" si="58"/>
        <v>0</v>
      </c>
      <c r="HA46">
        <v>0</v>
      </c>
      <c r="HB46">
        <v>0</v>
      </c>
      <c r="HC46">
        <f t="shared" si="59"/>
        <v>0</v>
      </c>
      <c r="HE46" t="s">
        <v>27</v>
      </c>
      <c r="HF46" t="s">
        <v>27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HS46">
        <v>0</v>
      </c>
      <c r="IK46">
        <v>0</v>
      </c>
    </row>
    <row r="47" spans="1:245" x14ac:dyDescent="0.2">
      <c r="A47">
        <v>18</v>
      </c>
      <c r="B47">
        <v>1</v>
      </c>
      <c r="C47">
        <v>37</v>
      </c>
      <c r="E47" t="s">
        <v>91</v>
      </c>
      <c r="F47" t="s">
        <v>24</v>
      </c>
      <c r="G47" t="s">
        <v>92</v>
      </c>
      <c r="H47" t="s">
        <v>18</v>
      </c>
      <c r="I47">
        <f>I45*J47</f>
        <v>74</v>
      </c>
      <c r="J47">
        <v>82.222222222222214</v>
      </c>
      <c r="K47">
        <v>82.222222000000002</v>
      </c>
      <c r="O47">
        <f t="shared" si="21"/>
        <v>39633.660000000003</v>
      </c>
      <c r="P47">
        <f t="shared" si="22"/>
        <v>39633.660000000003</v>
      </c>
      <c r="Q47">
        <f t="shared" si="23"/>
        <v>0</v>
      </c>
      <c r="R47">
        <f t="shared" si="24"/>
        <v>0</v>
      </c>
      <c r="S47">
        <f t="shared" si="25"/>
        <v>0</v>
      </c>
      <c r="T47">
        <f t="shared" si="26"/>
        <v>0</v>
      </c>
      <c r="U47">
        <f t="shared" si="27"/>
        <v>0</v>
      </c>
      <c r="V47">
        <f t="shared" si="28"/>
        <v>0</v>
      </c>
      <c r="W47">
        <f t="shared" si="29"/>
        <v>0</v>
      </c>
      <c r="X47">
        <f t="shared" si="30"/>
        <v>0</v>
      </c>
      <c r="Y47">
        <f t="shared" si="31"/>
        <v>0</v>
      </c>
      <c r="AA47">
        <v>81141517</v>
      </c>
      <c r="AB47">
        <f t="shared" si="32"/>
        <v>535.59</v>
      </c>
      <c r="AC47">
        <f t="shared" si="33"/>
        <v>535.59</v>
      </c>
      <c r="AD47">
        <f t="shared" si="34"/>
        <v>0</v>
      </c>
      <c r="AE47">
        <f t="shared" si="35"/>
        <v>0</v>
      </c>
      <c r="AF47">
        <f t="shared" si="36"/>
        <v>0</v>
      </c>
      <c r="AG47">
        <f t="shared" si="37"/>
        <v>0</v>
      </c>
      <c r="AH47">
        <f t="shared" si="38"/>
        <v>0</v>
      </c>
      <c r="AI47">
        <f t="shared" si="39"/>
        <v>0</v>
      </c>
      <c r="AJ47">
        <f t="shared" si="40"/>
        <v>0</v>
      </c>
      <c r="AK47">
        <v>535.59</v>
      </c>
      <c r="AL47">
        <v>535.59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70</v>
      </c>
      <c r="AU47">
        <v>10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3</v>
      </c>
      <c r="BI47">
        <v>4</v>
      </c>
      <c r="BJ47" t="s">
        <v>3</v>
      </c>
      <c r="BM47">
        <v>0</v>
      </c>
      <c r="BN47">
        <v>0</v>
      </c>
      <c r="BO47" t="s">
        <v>3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70</v>
      </c>
      <c r="CA47">
        <v>10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1"/>
        <v>39633.660000000003</v>
      </c>
      <c r="CQ47">
        <f t="shared" si="42"/>
        <v>535.59</v>
      </c>
      <c r="CR47">
        <f t="shared" si="43"/>
        <v>0</v>
      </c>
      <c r="CS47">
        <f t="shared" si="44"/>
        <v>0</v>
      </c>
      <c r="CT47">
        <f t="shared" si="45"/>
        <v>0</v>
      </c>
      <c r="CU47">
        <f t="shared" si="46"/>
        <v>0</v>
      </c>
      <c r="CV47">
        <f t="shared" si="47"/>
        <v>0</v>
      </c>
      <c r="CW47">
        <f t="shared" si="48"/>
        <v>0</v>
      </c>
      <c r="CX47">
        <f t="shared" si="49"/>
        <v>0</v>
      </c>
      <c r="CY47">
        <f t="shared" si="50"/>
        <v>0</v>
      </c>
      <c r="CZ47">
        <f t="shared" si="51"/>
        <v>0</v>
      </c>
      <c r="DC47" t="s">
        <v>3</v>
      </c>
      <c r="DD47" t="s">
        <v>3</v>
      </c>
      <c r="DE47" t="s">
        <v>3</v>
      </c>
      <c r="DF47" t="s">
        <v>3</v>
      </c>
      <c r="DG47" t="s">
        <v>3</v>
      </c>
      <c r="DH47" t="s">
        <v>3</v>
      </c>
      <c r="DI47" t="s">
        <v>3</v>
      </c>
      <c r="DJ47" t="s">
        <v>3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1010</v>
      </c>
      <c r="DV47" t="s">
        <v>18</v>
      </c>
      <c r="DW47" t="s">
        <v>18</v>
      </c>
      <c r="DX47">
        <v>1</v>
      </c>
      <c r="DZ47" t="s">
        <v>3</v>
      </c>
      <c r="EA47" t="s">
        <v>3</v>
      </c>
      <c r="EB47" t="s">
        <v>3</v>
      </c>
      <c r="EC47" t="s">
        <v>3</v>
      </c>
      <c r="EE47">
        <v>80196140</v>
      </c>
      <c r="EF47">
        <v>1</v>
      </c>
      <c r="EG47" t="s">
        <v>20</v>
      </c>
      <c r="EH47">
        <v>0</v>
      </c>
      <c r="EI47" t="s">
        <v>3</v>
      </c>
      <c r="EJ47">
        <v>4</v>
      </c>
      <c r="EK47">
        <v>0</v>
      </c>
      <c r="EL47" t="s">
        <v>21</v>
      </c>
      <c r="EM47" t="s">
        <v>22</v>
      </c>
      <c r="EO47" t="s">
        <v>3</v>
      </c>
      <c r="EQ47">
        <v>0</v>
      </c>
      <c r="ER47">
        <v>535.59</v>
      </c>
      <c r="ES47">
        <v>535.59</v>
      </c>
      <c r="ET47">
        <v>0</v>
      </c>
      <c r="EU47">
        <v>0</v>
      </c>
      <c r="EV47">
        <v>0</v>
      </c>
      <c r="EW47">
        <v>0</v>
      </c>
      <c r="EX47">
        <v>0</v>
      </c>
      <c r="EZ47">
        <v>5</v>
      </c>
      <c r="FC47">
        <v>1</v>
      </c>
      <c r="FD47">
        <v>18</v>
      </c>
      <c r="FF47">
        <v>642.71</v>
      </c>
      <c r="FQ47">
        <v>0</v>
      </c>
      <c r="FR47">
        <v>0</v>
      </c>
      <c r="FS47">
        <v>0</v>
      </c>
      <c r="FX47">
        <v>70</v>
      </c>
      <c r="FY47">
        <v>10</v>
      </c>
      <c r="GA47" t="s">
        <v>90</v>
      </c>
      <c r="GD47">
        <v>0</v>
      </c>
      <c r="GF47">
        <v>-191325540</v>
      </c>
      <c r="GG47">
        <v>2</v>
      </c>
      <c r="GH47">
        <v>3</v>
      </c>
      <c r="GI47">
        <v>-2</v>
      </c>
      <c r="GJ47">
        <v>0</v>
      </c>
      <c r="GK47">
        <f>ROUND(R47*(R12)/100,2)</f>
        <v>0</v>
      </c>
      <c r="GL47">
        <f t="shared" si="52"/>
        <v>0</v>
      </c>
      <c r="GM47">
        <f t="shared" si="53"/>
        <v>39633.660000000003</v>
      </c>
      <c r="GN47">
        <f t="shared" si="54"/>
        <v>0</v>
      </c>
      <c r="GO47">
        <f t="shared" si="55"/>
        <v>0</v>
      </c>
      <c r="GP47">
        <f t="shared" si="56"/>
        <v>39633.660000000003</v>
      </c>
      <c r="GR47">
        <v>1</v>
      </c>
      <c r="GS47">
        <v>1</v>
      </c>
      <c r="GT47">
        <v>0</v>
      </c>
      <c r="GU47" t="s">
        <v>3</v>
      </c>
      <c r="GV47">
        <f t="shared" si="57"/>
        <v>0</v>
      </c>
      <c r="GW47">
        <v>1</v>
      </c>
      <c r="GX47">
        <f t="shared" si="58"/>
        <v>0</v>
      </c>
      <c r="HA47">
        <v>0</v>
      </c>
      <c r="HB47">
        <v>0</v>
      </c>
      <c r="HC47">
        <f t="shared" si="59"/>
        <v>0</v>
      </c>
      <c r="HE47" t="s">
        <v>27</v>
      </c>
      <c r="HF47" t="s">
        <v>27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HS47">
        <v>0</v>
      </c>
      <c r="IK47">
        <v>0</v>
      </c>
    </row>
    <row r="48" spans="1:245" x14ac:dyDescent="0.2">
      <c r="A48">
        <v>18</v>
      </c>
      <c r="B48">
        <v>1</v>
      </c>
      <c r="C48">
        <v>38</v>
      </c>
      <c r="E48" t="s">
        <v>93</v>
      </c>
      <c r="F48" t="s">
        <v>24</v>
      </c>
      <c r="G48" t="s">
        <v>94</v>
      </c>
      <c r="H48" t="s">
        <v>18</v>
      </c>
      <c r="I48">
        <f>I45*J48</f>
        <v>100</v>
      </c>
      <c r="J48">
        <v>111.11111111111111</v>
      </c>
      <c r="K48">
        <v>111.11111099999999</v>
      </c>
      <c r="O48">
        <f t="shared" si="21"/>
        <v>17518</v>
      </c>
      <c r="P48">
        <f t="shared" si="22"/>
        <v>17518</v>
      </c>
      <c r="Q48">
        <f t="shared" si="23"/>
        <v>0</v>
      </c>
      <c r="R48">
        <f t="shared" si="24"/>
        <v>0</v>
      </c>
      <c r="S48">
        <f t="shared" si="25"/>
        <v>0</v>
      </c>
      <c r="T48">
        <f t="shared" si="26"/>
        <v>0</v>
      </c>
      <c r="U48">
        <f t="shared" si="27"/>
        <v>0</v>
      </c>
      <c r="V48">
        <f t="shared" si="28"/>
        <v>0</v>
      </c>
      <c r="W48">
        <f t="shared" si="29"/>
        <v>0</v>
      </c>
      <c r="X48">
        <f t="shared" si="30"/>
        <v>0</v>
      </c>
      <c r="Y48">
        <f t="shared" si="31"/>
        <v>0</v>
      </c>
      <c r="AA48">
        <v>81141517</v>
      </c>
      <c r="AB48">
        <f t="shared" si="32"/>
        <v>175.18</v>
      </c>
      <c r="AC48">
        <f t="shared" si="33"/>
        <v>175.18</v>
      </c>
      <c r="AD48">
        <f t="shared" si="34"/>
        <v>0</v>
      </c>
      <c r="AE48">
        <f t="shared" si="35"/>
        <v>0</v>
      </c>
      <c r="AF48">
        <f t="shared" si="36"/>
        <v>0</v>
      </c>
      <c r="AG48">
        <f t="shared" si="37"/>
        <v>0</v>
      </c>
      <c r="AH48">
        <f t="shared" si="38"/>
        <v>0</v>
      </c>
      <c r="AI48">
        <f t="shared" si="39"/>
        <v>0</v>
      </c>
      <c r="AJ48">
        <f t="shared" si="40"/>
        <v>0</v>
      </c>
      <c r="AK48">
        <v>175.18</v>
      </c>
      <c r="AL48">
        <v>175.18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70</v>
      </c>
      <c r="AU48">
        <v>10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4</v>
      </c>
      <c r="BJ48" t="s">
        <v>3</v>
      </c>
      <c r="BM48">
        <v>0</v>
      </c>
      <c r="BN48">
        <v>0</v>
      </c>
      <c r="BO48" t="s">
        <v>3</v>
      </c>
      <c r="BP48">
        <v>0</v>
      </c>
      <c r="BQ48">
        <v>1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70</v>
      </c>
      <c r="CA48">
        <v>10</v>
      </c>
      <c r="CB48" t="s">
        <v>3</v>
      </c>
      <c r="CE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1"/>
        <v>17518</v>
      </c>
      <c r="CQ48">
        <f t="shared" si="42"/>
        <v>175.18</v>
      </c>
      <c r="CR48">
        <f t="shared" si="43"/>
        <v>0</v>
      </c>
      <c r="CS48">
        <f t="shared" si="44"/>
        <v>0</v>
      </c>
      <c r="CT48">
        <f t="shared" si="45"/>
        <v>0</v>
      </c>
      <c r="CU48">
        <f t="shared" si="46"/>
        <v>0</v>
      </c>
      <c r="CV48">
        <f t="shared" si="47"/>
        <v>0</v>
      </c>
      <c r="CW48">
        <f t="shared" si="48"/>
        <v>0</v>
      </c>
      <c r="CX48">
        <f t="shared" si="49"/>
        <v>0</v>
      </c>
      <c r="CY48">
        <f t="shared" si="50"/>
        <v>0</v>
      </c>
      <c r="CZ48">
        <f t="shared" si="51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1010</v>
      </c>
      <c r="DV48" t="s">
        <v>18</v>
      </c>
      <c r="DW48" t="s">
        <v>18</v>
      </c>
      <c r="DX48">
        <v>1</v>
      </c>
      <c r="DZ48" t="s">
        <v>3</v>
      </c>
      <c r="EA48" t="s">
        <v>3</v>
      </c>
      <c r="EB48" t="s">
        <v>3</v>
      </c>
      <c r="EC48" t="s">
        <v>3</v>
      </c>
      <c r="EE48">
        <v>80196140</v>
      </c>
      <c r="EF48">
        <v>1</v>
      </c>
      <c r="EG48" t="s">
        <v>20</v>
      </c>
      <c r="EH48">
        <v>0</v>
      </c>
      <c r="EI48" t="s">
        <v>3</v>
      </c>
      <c r="EJ48">
        <v>4</v>
      </c>
      <c r="EK48">
        <v>0</v>
      </c>
      <c r="EL48" t="s">
        <v>21</v>
      </c>
      <c r="EM48" t="s">
        <v>22</v>
      </c>
      <c r="EO48" t="s">
        <v>3</v>
      </c>
      <c r="EQ48">
        <v>0</v>
      </c>
      <c r="ER48">
        <v>175.18</v>
      </c>
      <c r="ES48">
        <v>175.18</v>
      </c>
      <c r="ET48">
        <v>0</v>
      </c>
      <c r="EU48">
        <v>0</v>
      </c>
      <c r="EV48">
        <v>0</v>
      </c>
      <c r="EW48">
        <v>0</v>
      </c>
      <c r="EX48">
        <v>0</v>
      </c>
      <c r="EZ48">
        <v>5</v>
      </c>
      <c r="FC48">
        <v>1</v>
      </c>
      <c r="FD48">
        <v>18</v>
      </c>
      <c r="FF48">
        <v>210.21</v>
      </c>
      <c r="FQ48">
        <v>0</v>
      </c>
      <c r="FR48">
        <v>0</v>
      </c>
      <c r="FS48">
        <v>0</v>
      </c>
      <c r="FX48">
        <v>70</v>
      </c>
      <c r="FY48">
        <v>10</v>
      </c>
      <c r="GA48" t="s">
        <v>95</v>
      </c>
      <c r="GD48">
        <v>0</v>
      </c>
      <c r="GF48">
        <v>-2131730029</v>
      </c>
      <c r="GG48">
        <v>2</v>
      </c>
      <c r="GH48">
        <v>3</v>
      </c>
      <c r="GI48">
        <v>-2</v>
      </c>
      <c r="GJ48">
        <v>0</v>
      </c>
      <c r="GK48">
        <f>ROUND(R48*(R12)/100,2)</f>
        <v>0</v>
      </c>
      <c r="GL48">
        <f t="shared" si="52"/>
        <v>0</v>
      </c>
      <c r="GM48">
        <f t="shared" si="53"/>
        <v>17518</v>
      </c>
      <c r="GN48">
        <f t="shared" si="54"/>
        <v>0</v>
      </c>
      <c r="GO48">
        <f t="shared" si="55"/>
        <v>0</v>
      </c>
      <c r="GP48">
        <f t="shared" si="56"/>
        <v>17518</v>
      </c>
      <c r="GR48">
        <v>1</v>
      </c>
      <c r="GS48">
        <v>1</v>
      </c>
      <c r="GT48">
        <v>0</v>
      </c>
      <c r="GU48" t="s">
        <v>3</v>
      </c>
      <c r="GV48">
        <f t="shared" si="57"/>
        <v>0</v>
      </c>
      <c r="GW48">
        <v>1</v>
      </c>
      <c r="GX48">
        <f t="shared" si="58"/>
        <v>0</v>
      </c>
      <c r="HA48">
        <v>0</v>
      </c>
      <c r="HB48">
        <v>0</v>
      </c>
      <c r="HC48">
        <f t="shared" si="59"/>
        <v>0</v>
      </c>
      <c r="HE48" t="s">
        <v>27</v>
      </c>
      <c r="HF48" t="s">
        <v>27</v>
      </c>
      <c r="HM48" t="s">
        <v>3</v>
      </c>
      <c r="HN48" t="s">
        <v>3</v>
      </c>
      <c r="HO48" t="s">
        <v>3</v>
      </c>
      <c r="HP48" t="s">
        <v>3</v>
      </c>
      <c r="HQ48" t="s">
        <v>3</v>
      </c>
      <c r="HS48">
        <v>0</v>
      </c>
      <c r="IK48">
        <v>0</v>
      </c>
    </row>
    <row r="49" spans="1:245" x14ac:dyDescent="0.2">
      <c r="A49">
        <v>18</v>
      </c>
      <c r="B49">
        <v>1</v>
      </c>
      <c r="C49">
        <v>34</v>
      </c>
      <c r="E49" t="s">
        <v>96</v>
      </c>
      <c r="F49" t="s">
        <v>97</v>
      </c>
      <c r="G49" t="s">
        <v>98</v>
      </c>
      <c r="H49" t="s">
        <v>18</v>
      </c>
      <c r="I49">
        <f>I45*J49</f>
        <v>1</v>
      </c>
      <c r="J49">
        <v>1.1111111111111112</v>
      </c>
      <c r="K49">
        <v>1.111111</v>
      </c>
      <c r="O49">
        <f t="shared" si="21"/>
        <v>695.83</v>
      </c>
      <c r="P49">
        <f t="shared" si="22"/>
        <v>695.83</v>
      </c>
      <c r="Q49">
        <f t="shared" si="23"/>
        <v>0</v>
      </c>
      <c r="R49">
        <f t="shared" si="24"/>
        <v>0</v>
      </c>
      <c r="S49">
        <f t="shared" si="25"/>
        <v>0</v>
      </c>
      <c r="T49">
        <f t="shared" si="26"/>
        <v>0</v>
      </c>
      <c r="U49">
        <f t="shared" si="27"/>
        <v>0</v>
      </c>
      <c r="V49">
        <f t="shared" si="28"/>
        <v>0</v>
      </c>
      <c r="W49">
        <f t="shared" si="29"/>
        <v>0</v>
      </c>
      <c r="X49">
        <f t="shared" si="30"/>
        <v>0</v>
      </c>
      <c r="Y49">
        <f t="shared" si="31"/>
        <v>0</v>
      </c>
      <c r="AA49">
        <v>81141517</v>
      </c>
      <c r="AB49">
        <f t="shared" si="32"/>
        <v>695.83</v>
      </c>
      <c r="AC49">
        <f t="shared" si="33"/>
        <v>695.83</v>
      </c>
      <c r="AD49">
        <f t="shared" si="34"/>
        <v>0</v>
      </c>
      <c r="AE49">
        <f t="shared" si="35"/>
        <v>0</v>
      </c>
      <c r="AF49">
        <f t="shared" si="36"/>
        <v>0</v>
      </c>
      <c r="AG49">
        <f t="shared" si="37"/>
        <v>0</v>
      </c>
      <c r="AH49">
        <f t="shared" si="38"/>
        <v>0</v>
      </c>
      <c r="AI49">
        <f t="shared" si="39"/>
        <v>0</v>
      </c>
      <c r="AJ49">
        <f t="shared" si="40"/>
        <v>0</v>
      </c>
      <c r="AK49">
        <v>695.83</v>
      </c>
      <c r="AL49">
        <v>695.83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70</v>
      </c>
      <c r="AU49">
        <v>10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</v>
      </c>
      <c r="BD49" t="s">
        <v>3</v>
      </c>
      <c r="BE49" t="s">
        <v>3</v>
      </c>
      <c r="BF49" t="s">
        <v>3</v>
      </c>
      <c r="BG49" t="s">
        <v>3</v>
      </c>
      <c r="BH49">
        <v>3</v>
      </c>
      <c r="BI49">
        <v>4</v>
      </c>
      <c r="BJ49" t="s">
        <v>99</v>
      </c>
      <c r="BM49">
        <v>0</v>
      </c>
      <c r="BN49">
        <v>0</v>
      </c>
      <c r="BO49" t="s">
        <v>3</v>
      </c>
      <c r="BP49">
        <v>0</v>
      </c>
      <c r="BQ49">
        <v>1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70</v>
      </c>
      <c r="CA49">
        <v>10</v>
      </c>
      <c r="CB49" t="s">
        <v>3</v>
      </c>
      <c r="CE49">
        <v>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41"/>
        <v>695.83</v>
      </c>
      <c r="CQ49">
        <f t="shared" si="42"/>
        <v>695.83</v>
      </c>
      <c r="CR49">
        <f t="shared" si="43"/>
        <v>0</v>
      </c>
      <c r="CS49">
        <f t="shared" si="44"/>
        <v>0</v>
      </c>
      <c r="CT49">
        <f t="shared" si="45"/>
        <v>0</v>
      </c>
      <c r="CU49">
        <f t="shared" si="46"/>
        <v>0</v>
      </c>
      <c r="CV49">
        <f t="shared" si="47"/>
        <v>0</v>
      </c>
      <c r="CW49">
        <f t="shared" si="48"/>
        <v>0</v>
      </c>
      <c r="CX49">
        <f t="shared" si="49"/>
        <v>0</v>
      </c>
      <c r="CY49">
        <f t="shared" si="50"/>
        <v>0</v>
      </c>
      <c r="CZ49">
        <f t="shared" si="51"/>
        <v>0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1010</v>
      </c>
      <c r="DV49" t="s">
        <v>18</v>
      </c>
      <c r="DW49" t="s">
        <v>18</v>
      </c>
      <c r="DX49">
        <v>1</v>
      </c>
      <c r="DZ49" t="s">
        <v>3</v>
      </c>
      <c r="EA49" t="s">
        <v>3</v>
      </c>
      <c r="EB49" t="s">
        <v>3</v>
      </c>
      <c r="EC49" t="s">
        <v>3</v>
      </c>
      <c r="EE49">
        <v>80196140</v>
      </c>
      <c r="EF49">
        <v>1</v>
      </c>
      <c r="EG49" t="s">
        <v>20</v>
      </c>
      <c r="EH49">
        <v>0</v>
      </c>
      <c r="EI49" t="s">
        <v>3</v>
      </c>
      <c r="EJ49">
        <v>4</v>
      </c>
      <c r="EK49">
        <v>0</v>
      </c>
      <c r="EL49" t="s">
        <v>21</v>
      </c>
      <c r="EM49" t="s">
        <v>22</v>
      </c>
      <c r="EO49" t="s">
        <v>3</v>
      </c>
      <c r="EQ49">
        <v>0</v>
      </c>
      <c r="ER49">
        <v>695.83</v>
      </c>
      <c r="ES49">
        <v>695.83</v>
      </c>
      <c r="ET49">
        <v>0</v>
      </c>
      <c r="EU49">
        <v>0</v>
      </c>
      <c r="EV49">
        <v>0</v>
      </c>
      <c r="EW49">
        <v>0</v>
      </c>
      <c r="EX49">
        <v>0</v>
      </c>
      <c r="FQ49">
        <v>0</v>
      </c>
      <c r="FR49">
        <v>0</v>
      </c>
      <c r="FS49">
        <v>0</v>
      </c>
      <c r="FX49">
        <v>70</v>
      </c>
      <c r="FY49">
        <v>10</v>
      </c>
      <c r="GA49" t="s">
        <v>3</v>
      </c>
      <c r="GD49">
        <v>0</v>
      </c>
      <c r="GF49">
        <v>-816974938</v>
      </c>
      <c r="GG49">
        <v>2</v>
      </c>
      <c r="GH49">
        <v>1</v>
      </c>
      <c r="GI49">
        <v>-2</v>
      </c>
      <c r="GJ49">
        <v>0</v>
      </c>
      <c r="GK49">
        <f>ROUND(R49*(R12)/100,2)</f>
        <v>0</v>
      </c>
      <c r="GL49">
        <f t="shared" si="52"/>
        <v>0</v>
      </c>
      <c r="GM49">
        <f t="shared" si="53"/>
        <v>695.83</v>
      </c>
      <c r="GN49">
        <f t="shared" si="54"/>
        <v>0</v>
      </c>
      <c r="GO49">
        <f t="shared" si="55"/>
        <v>0</v>
      </c>
      <c r="GP49">
        <f t="shared" si="56"/>
        <v>695.83</v>
      </c>
      <c r="GR49">
        <v>0</v>
      </c>
      <c r="GS49">
        <v>3</v>
      </c>
      <c r="GT49">
        <v>0</v>
      </c>
      <c r="GU49" t="s">
        <v>3</v>
      </c>
      <c r="GV49">
        <f t="shared" si="57"/>
        <v>0</v>
      </c>
      <c r="GW49">
        <v>1</v>
      </c>
      <c r="GX49">
        <f t="shared" si="58"/>
        <v>0</v>
      </c>
      <c r="HA49">
        <v>0</v>
      </c>
      <c r="HB49">
        <v>0</v>
      </c>
      <c r="HC49">
        <f t="shared" si="59"/>
        <v>0</v>
      </c>
      <c r="HE49" t="s">
        <v>3</v>
      </c>
      <c r="HF49" t="s">
        <v>3</v>
      </c>
      <c r="HM49" t="s">
        <v>3</v>
      </c>
      <c r="HN49" t="s">
        <v>3</v>
      </c>
      <c r="HO49" t="s">
        <v>3</v>
      </c>
      <c r="HP49" t="s">
        <v>3</v>
      </c>
      <c r="HQ49" t="s">
        <v>3</v>
      </c>
      <c r="HS49">
        <v>0</v>
      </c>
      <c r="IK49">
        <v>0</v>
      </c>
    </row>
    <row r="50" spans="1:245" x14ac:dyDescent="0.2">
      <c r="A50">
        <v>18</v>
      </c>
      <c r="B50">
        <v>1</v>
      </c>
      <c r="C50">
        <v>35</v>
      </c>
      <c r="E50" t="s">
        <v>100</v>
      </c>
      <c r="F50" t="s">
        <v>101</v>
      </c>
      <c r="G50" t="s">
        <v>102</v>
      </c>
      <c r="H50" t="s">
        <v>18</v>
      </c>
      <c r="I50">
        <f>I45*J50</f>
        <v>1</v>
      </c>
      <c r="J50">
        <v>1.1111111111111112</v>
      </c>
      <c r="K50">
        <v>1.111111</v>
      </c>
      <c r="O50">
        <f t="shared" si="21"/>
        <v>54070.58</v>
      </c>
      <c r="P50">
        <f t="shared" si="22"/>
        <v>54070.58</v>
      </c>
      <c r="Q50">
        <f t="shared" si="23"/>
        <v>0</v>
      </c>
      <c r="R50">
        <f t="shared" si="24"/>
        <v>0</v>
      </c>
      <c r="S50">
        <f t="shared" si="25"/>
        <v>0</v>
      </c>
      <c r="T50">
        <f t="shared" si="26"/>
        <v>0</v>
      </c>
      <c r="U50">
        <f t="shared" si="27"/>
        <v>0</v>
      </c>
      <c r="V50">
        <f t="shared" si="28"/>
        <v>0</v>
      </c>
      <c r="W50">
        <f t="shared" si="29"/>
        <v>0</v>
      </c>
      <c r="X50">
        <f t="shared" si="30"/>
        <v>0</v>
      </c>
      <c r="Y50">
        <f t="shared" si="31"/>
        <v>0</v>
      </c>
      <c r="AA50">
        <v>81141517</v>
      </c>
      <c r="AB50">
        <f t="shared" si="32"/>
        <v>54070.58</v>
      </c>
      <c r="AC50">
        <f t="shared" si="33"/>
        <v>54070.58</v>
      </c>
      <c r="AD50">
        <f t="shared" si="34"/>
        <v>0</v>
      </c>
      <c r="AE50">
        <f t="shared" si="35"/>
        <v>0</v>
      </c>
      <c r="AF50">
        <f t="shared" si="36"/>
        <v>0</v>
      </c>
      <c r="AG50">
        <f t="shared" si="37"/>
        <v>0</v>
      </c>
      <c r="AH50">
        <f t="shared" si="38"/>
        <v>0</v>
      </c>
      <c r="AI50">
        <f t="shared" si="39"/>
        <v>0</v>
      </c>
      <c r="AJ50">
        <f t="shared" si="40"/>
        <v>0</v>
      </c>
      <c r="AK50">
        <v>54070.58</v>
      </c>
      <c r="AL50">
        <v>54070.58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70</v>
      </c>
      <c r="AU50">
        <v>10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1</v>
      </c>
      <c r="BD50" t="s">
        <v>3</v>
      </c>
      <c r="BE50" t="s">
        <v>3</v>
      </c>
      <c r="BF50" t="s">
        <v>3</v>
      </c>
      <c r="BG50" t="s">
        <v>3</v>
      </c>
      <c r="BH50">
        <v>3</v>
      </c>
      <c r="BI50">
        <v>4</v>
      </c>
      <c r="BJ50" t="s">
        <v>103</v>
      </c>
      <c r="BM50">
        <v>0</v>
      </c>
      <c r="BN50">
        <v>0</v>
      </c>
      <c r="BO50" t="s">
        <v>3</v>
      </c>
      <c r="BP50">
        <v>0</v>
      </c>
      <c r="BQ50">
        <v>1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70</v>
      </c>
      <c r="CA50">
        <v>10</v>
      </c>
      <c r="CB50" t="s">
        <v>3</v>
      </c>
      <c r="CE50">
        <v>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41"/>
        <v>54070.58</v>
      </c>
      <c r="CQ50">
        <f t="shared" si="42"/>
        <v>54070.58</v>
      </c>
      <c r="CR50">
        <f t="shared" si="43"/>
        <v>0</v>
      </c>
      <c r="CS50">
        <f t="shared" si="44"/>
        <v>0</v>
      </c>
      <c r="CT50">
        <f t="shared" si="45"/>
        <v>0</v>
      </c>
      <c r="CU50">
        <f t="shared" si="46"/>
        <v>0</v>
      </c>
      <c r="CV50">
        <f t="shared" si="47"/>
        <v>0</v>
      </c>
      <c r="CW50">
        <f t="shared" si="48"/>
        <v>0</v>
      </c>
      <c r="CX50">
        <f t="shared" si="49"/>
        <v>0</v>
      </c>
      <c r="CY50">
        <f t="shared" si="50"/>
        <v>0</v>
      </c>
      <c r="CZ50">
        <f t="shared" si="51"/>
        <v>0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1010</v>
      </c>
      <c r="DV50" t="s">
        <v>18</v>
      </c>
      <c r="DW50" t="s">
        <v>18</v>
      </c>
      <c r="DX50">
        <v>1</v>
      </c>
      <c r="DZ50" t="s">
        <v>3</v>
      </c>
      <c r="EA50" t="s">
        <v>3</v>
      </c>
      <c r="EB50" t="s">
        <v>3</v>
      </c>
      <c r="EC50" t="s">
        <v>3</v>
      </c>
      <c r="EE50">
        <v>80196140</v>
      </c>
      <c r="EF50">
        <v>1</v>
      </c>
      <c r="EG50" t="s">
        <v>20</v>
      </c>
      <c r="EH50">
        <v>0</v>
      </c>
      <c r="EI50" t="s">
        <v>3</v>
      </c>
      <c r="EJ50">
        <v>4</v>
      </c>
      <c r="EK50">
        <v>0</v>
      </c>
      <c r="EL50" t="s">
        <v>21</v>
      </c>
      <c r="EM50" t="s">
        <v>22</v>
      </c>
      <c r="EO50" t="s">
        <v>3</v>
      </c>
      <c r="EQ50">
        <v>0</v>
      </c>
      <c r="ER50">
        <v>54070.58</v>
      </c>
      <c r="ES50">
        <v>54070.58</v>
      </c>
      <c r="ET50">
        <v>0</v>
      </c>
      <c r="EU50">
        <v>0</v>
      </c>
      <c r="EV50">
        <v>0</v>
      </c>
      <c r="EW50">
        <v>0</v>
      </c>
      <c r="EX50">
        <v>0</v>
      </c>
      <c r="FQ50">
        <v>0</v>
      </c>
      <c r="FR50">
        <v>0</v>
      </c>
      <c r="FS50">
        <v>0</v>
      </c>
      <c r="FX50">
        <v>70</v>
      </c>
      <c r="FY50">
        <v>10</v>
      </c>
      <c r="GA50" t="s">
        <v>3</v>
      </c>
      <c r="GD50">
        <v>0</v>
      </c>
      <c r="GF50">
        <v>-569902613</v>
      </c>
      <c r="GG50">
        <v>2</v>
      </c>
      <c r="GH50">
        <v>1</v>
      </c>
      <c r="GI50">
        <v>-2</v>
      </c>
      <c r="GJ50">
        <v>0</v>
      </c>
      <c r="GK50">
        <f>ROUND(R50*(R12)/100,2)</f>
        <v>0</v>
      </c>
      <c r="GL50">
        <f t="shared" si="52"/>
        <v>0</v>
      </c>
      <c r="GM50">
        <f t="shared" si="53"/>
        <v>54070.58</v>
      </c>
      <c r="GN50">
        <f t="shared" si="54"/>
        <v>0</v>
      </c>
      <c r="GO50">
        <f t="shared" si="55"/>
        <v>0</v>
      </c>
      <c r="GP50">
        <f t="shared" si="56"/>
        <v>54070.58</v>
      </c>
      <c r="GR50">
        <v>0</v>
      </c>
      <c r="GS50">
        <v>3</v>
      </c>
      <c r="GT50">
        <v>0</v>
      </c>
      <c r="GU50" t="s">
        <v>3</v>
      </c>
      <c r="GV50">
        <f t="shared" si="57"/>
        <v>0</v>
      </c>
      <c r="GW50">
        <v>1</v>
      </c>
      <c r="GX50">
        <f t="shared" si="58"/>
        <v>0</v>
      </c>
      <c r="HA50">
        <v>0</v>
      </c>
      <c r="HB50">
        <v>0</v>
      </c>
      <c r="HC50">
        <f t="shared" si="59"/>
        <v>0</v>
      </c>
      <c r="HE50" t="s">
        <v>3</v>
      </c>
      <c r="HF50" t="s">
        <v>3</v>
      </c>
      <c r="HM50" t="s">
        <v>3</v>
      </c>
      <c r="HN50" t="s">
        <v>3</v>
      </c>
      <c r="HO50" t="s">
        <v>3</v>
      </c>
      <c r="HP50" t="s">
        <v>3</v>
      </c>
      <c r="HQ50" t="s">
        <v>3</v>
      </c>
      <c r="HS50">
        <v>0</v>
      </c>
      <c r="IK50">
        <v>0</v>
      </c>
    </row>
    <row r="51" spans="1:245" x14ac:dyDescent="0.2">
      <c r="A51">
        <v>17</v>
      </c>
      <c r="B51">
        <v>1</v>
      </c>
      <c r="C51">
        <f>ROW(SmtRes!A41)</f>
        <v>41</v>
      </c>
      <c r="D51">
        <f>ROW(EtalonRes!A24)</f>
        <v>24</v>
      </c>
      <c r="E51" t="s">
        <v>104</v>
      </c>
      <c r="F51" t="s">
        <v>105</v>
      </c>
      <c r="G51" t="s">
        <v>106</v>
      </c>
      <c r="H51" t="s">
        <v>18</v>
      </c>
      <c r="I51">
        <v>25</v>
      </c>
      <c r="J51">
        <v>0</v>
      </c>
      <c r="K51">
        <v>25</v>
      </c>
      <c r="O51">
        <f t="shared" si="21"/>
        <v>14952</v>
      </c>
      <c r="P51">
        <f t="shared" si="22"/>
        <v>0</v>
      </c>
      <c r="Q51">
        <f t="shared" si="23"/>
        <v>0</v>
      </c>
      <c r="R51">
        <f t="shared" si="24"/>
        <v>0</v>
      </c>
      <c r="S51">
        <f t="shared" si="25"/>
        <v>14952</v>
      </c>
      <c r="T51">
        <f t="shared" si="26"/>
        <v>0</v>
      </c>
      <c r="U51">
        <f t="shared" si="27"/>
        <v>29.5</v>
      </c>
      <c r="V51">
        <f t="shared" si="28"/>
        <v>0</v>
      </c>
      <c r="W51">
        <f t="shared" si="29"/>
        <v>0</v>
      </c>
      <c r="X51">
        <f t="shared" si="30"/>
        <v>10466.4</v>
      </c>
      <c r="Y51">
        <f t="shared" si="31"/>
        <v>1495.2</v>
      </c>
      <c r="AA51">
        <v>81141517</v>
      </c>
      <c r="AB51">
        <f t="shared" si="32"/>
        <v>598.08000000000004</v>
      </c>
      <c r="AC51">
        <f t="shared" si="33"/>
        <v>0</v>
      </c>
      <c r="AD51">
        <f t="shared" si="34"/>
        <v>0</v>
      </c>
      <c r="AE51">
        <f t="shared" si="35"/>
        <v>0</v>
      </c>
      <c r="AF51">
        <f t="shared" si="36"/>
        <v>598.08000000000004</v>
      </c>
      <c r="AG51">
        <f t="shared" si="37"/>
        <v>0</v>
      </c>
      <c r="AH51">
        <f t="shared" si="38"/>
        <v>1.18</v>
      </c>
      <c r="AI51">
        <f t="shared" si="39"/>
        <v>0</v>
      </c>
      <c r="AJ51">
        <f t="shared" si="40"/>
        <v>0</v>
      </c>
      <c r="AK51">
        <v>598.08000000000004</v>
      </c>
      <c r="AL51">
        <v>0</v>
      </c>
      <c r="AM51">
        <v>0</v>
      </c>
      <c r="AN51">
        <v>0</v>
      </c>
      <c r="AO51">
        <v>598.08000000000004</v>
      </c>
      <c r="AP51">
        <v>0</v>
      </c>
      <c r="AQ51">
        <v>1.18</v>
      </c>
      <c r="AR51">
        <v>0</v>
      </c>
      <c r="AS51">
        <v>0</v>
      </c>
      <c r="AT51">
        <v>70</v>
      </c>
      <c r="AU51">
        <v>10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1</v>
      </c>
      <c r="BD51" t="s">
        <v>3</v>
      </c>
      <c r="BE51" t="s">
        <v>3</v>
      </c>
      <c r="BF51" t="s">
        <v>3</v>
      </c>
      <c r="BG51" t="s">
        <v>3</v>
      </c>
      <c r="BH51">
        <v>0</v>
      </c>
      <c r="BI51">
        <v>4</v>
      </c>
      <c r="BJ51" t="s">
        <v>107</v>
      </c>
      <c r="BM51">
        <v>0</v>
      </c>
      <c r="BN51">
        <v>0</v>
      </c>
      <c r="BO51" t="s">
        <v>3</v>
      </c>
      <c r="BP51">
        <v>0</v>
      </c>
      <c r="BQ51">
        <v>1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70</v>
      </c>
      <c r="CA51">
        <v>10</v>
      </c>
      <c r="CB51" t="s">
        <v>3</v>
      </c>
      <c r="CE51">
        <v>0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41"/>
        <v>14952</v>
      </c>
      <c r="CQ51">
        <f t="shared" si="42"/>
        <v>0</v>
      </c>
      <c r="CR51">
        <f t="shared" si="43"/>
        <v>0</v>
      </c>
      <c r="CS51">
        <f t="shared" si="44"/>
        <v>0</v>
      </c>
      <c r="CT51">
        <f t="shared" si="45"/>
        <v>598.08000000000004</v>
      </c>
      <c r="CU51">
        <f t="shared" si="46"/>
        <v>0</v>
      </c>
      <c r="CV51">
        <f t="shared" si="47"/>
        <v>1.18</v>
      </c>
      <c r="CW51">
        <f t="shared" si="48"/>
        <v>0</v>
      </c>
      <c r="CX51">
        <f t="shared" si="49"/>
        <v>0</v>
      </c>
      <c r="CY51">
        <f t="shared" si="50"/>
        <v>10466.4</v>
      </c>
      <c r="CZ51">
        <f t="shared" si="51"/>
        <v>1495.2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1010</v>
      </c>
      <c r="DV51" t="s">
        <v>18</v>
      </c>
      <c r="DW51" t="s">
        <v>18</v>
      </c>
      <c r="DX51">
        <v>1</v>
      </c>
      <c r="DZ51" t="s">
        <v>3</v>
      </c>
      <c r="EA51" t="s">
        <v>3</v>
      </c>
      <c r="EB51" t="s">
        <v>3</v>
      </c>
      <c r="EC51" t="s">
        <v>3</v>
      </c>
      <c r="EE51">
        <v>80196140</v>
      </c>
      <c r="EF51">
        <v>1</v>
      </c>
      <c r="EG51" t="s">
        <v>20</v>
      </c>
      <c r="EH51">
        <v>0</v>
      </c>
      <c r="EI51" t="s">
        <v>3</v>
      </c>
      <c r="EJ51">
        <v>4</v>
      </c>
      <c r="EK51">
        <v>0</v>
      </c>
      <c r="EL51" t="s">
        <v>21</v>
      </c>
      <c r="EM51" t="s">
        <v>22</v>
      </c>
      <c r="EO51" t="s">
        <v>3</v>
      </c>
      <c r="EQ51">
        <v>0</v>
      </c>
      <c r="ER51">
        <v>598.08000000000004</v>
      </c>
      <c r="ES51">
        <v>0</v>
      </c>
      <c r="ET51">
        <v>0</v>
      </c>
      <c r="EU51">
        <v>0</v>
      </c>
      <c r="EV51">
        <v>598.08000000000004</v>
      </c>
      <c r="EW51">
        <v>1.18</v>
      </c>
      <c r="EX51">
        <v>0</v>
      </c>
      <c r="EY51">
        <v>0</v>
      </c>
      <c r="FQ51">
        <v>0</v>
      </c>
      <c r="FR51">
        <v>0</v>
      </c>
      <c r="FS51">
        <v>0</v>
      </c>
      <c r="FX51">
        <v>70</v>
      </c>
      <c r="FY51">
        <v>10</v>
      </c>
      <c r="GA51" t="s">
        <v>3</v>
      </c>
      <c r="GD51">
        <v>0</v>
      </c>
      <c r="GF51">
        <v>390519946</v>
      </c>
      <c r="GG51">
        <v>2</v>
      </c>
      <c r="GH51">
        <v>1</v>
      </c>
      <c r="GI51">
        <v>-2</v>
      </c>
      <c r="GJ51">
        <v>0</v>
      </c>
      <c r="GK51">
        <f>ROUND(R51*(R12)/100,2)</f>
        <v>0</v>
      </c>
      <c r="GL51">
        <f t="shared" si="52"/>
        <v>0</v>
      </c>
      <c r="GM51">
        <f t="shared" si="53"/>
        <v>26913.599999999999</v>
      </c>
      <c r="GN51">
        <f t="shared" si="54"/>
        <v>0</v>
      </c>
      <c r="GO51">
        <f t="shared" si="55"/>
        <v>0</v>
      </c>
      <c r="GP51">
        <f t="shared" si="56"/>
        <v>26913.599999999999</v>
      </c>
      <c r="GR51">
        <v>0</v>
      </c>
      <c r="GS51">
        <v>3</v>
      </c>
      <c r="GT51">
        <v>0</v>
      </c>
      <c r="GU51" t="s">
        <v>3</v>
      </c>
      <c r="GV51">
        <f t="shared" si="57"/>
        <v>0</v>
      </c>
      <c r="GW51">
        <v>1</v>
      </c>
      <c r="GX51">
        <f t="shared" si="58"/>
        <v>0</v>
      </c>
      <c r="HA51">
        <v>0</v>
      </c>
      <c r="HB51">
        <v>0</v>
      </c>
      <c r="HC51">
        <f t="shared" si="59"/>
        <v>0</v>
      </c>
      <c r="HE51" t="s">
        <v>3</v>
      </c>
      <c r="HF51" t="s">
        <v>3</v>
      </c>
      <c r="HM51" t="s">
        <v>3</v>
      </c>
      <c r="HN51" t="s">
        <v>3</v>
      </c>
      <c r="HO51" t="s">
        <v>3</v>
      </c>
      <c r="HP51" t="s">
        <v>3</v>
      </c>
      <c r="HQ51" t="s">
        <v>3</v>
      </c>
      <c r="HS51">
        <v>0</v>
      </c>
      <c r="IK51">
        <v>0</v>
      </c>
    </row>
    <row r="52" spans="1:245" x14ac:dyDescent="0.2">
      <c r="A52">
        <v>18</v>
      </c>
      <c r="B52">
        <v>1</v>
      </c>
      <c r="C52">
        <v>40</v>
      </c>
      <c r="E52" t="s">
        <v>108</v>
      </c>
      <c r="F52" t="s">
        <v>24</v>
      </c>
      <c r="G52" t="s">
        <v>109</v>
      </c>
      <c r="H52" t="s">
        <v>18</v>
      </c>
      <c r="I52">
        <f>I51*J52</f>
        <v>25</v>
      </c>
      <c r="J52">
        <v>1</v>
      </c>
      <c r="K52">
        <v>1</v>
      </c>
      <c r="O52">
        <f t="shared" si="21"/>
        <v>22659.75</v>
      </c>
      <c r="P52">
        <f t="shared" si="22"/>
        <v>22659.75</v>
      </c>
      <c r="Q52">
        <f t="shared" si="23"/>
        <v>0</v>
      </c>
      <c r="R52">
        <f t="shared" si="24"/>
        <v>0</v>
      </c>
      <c r="S52">
        <f t="shared" si="25"/>
        <v>0</v>
      </c>
      <c r="T52">
        <f t="shared" si="26"/>
        <v>0</v>
      </c>
      <c r="U52">
        <f t="shared" si="27"/>
        <v>0</v>
      </c>
      <c r="V52">
        <f t="shared" si="28"/>
        <v>0</v>
      </c>
      <c r="W52">
        <f t="shared" si="29"/>
        <v>0</v>
      </c>
      <c r="X52">
        <f t="shared" si="30"/>
        <v>0</v>
      </c>
      <c r="Y52">
        <f t="shared" si="31"/>
        <v>0</v>
      </c>
      <c r="AA52">
        <v>81141517</v>
      </c>
      <c r="AB52">
        <f t="shared" si="32"/>
        <v>906.39</v>
      </c>
      <c r="AC52">
        <f t="shared" si="33"/>
        <v>906.39</v>
      </c>
      <c r="AD52">
        <f t="shared" si="34"/>
        <v>0</v>
      </c>
      <c r="AE52">
        <f t="shared" si="35"/>
        <v>0</v>
      </c>
      <c r="AF52">
        <f t="shared" si="36"/>
        <v>0</v>
      </c>
      <c r="AG52">
        <f t="shared" si="37"/>
        <v>0</v>
      </c>
      <c r="AH52">
        <f t="shared" si="38"/>
        <v>0</v>
      </c>
      <c r="AI52">
        <f t="shared" si="39"/>
        <v>0</v>
      </c>
      <c r="AJ52">
        <f t="shared" si="40"/>
        <v>0</v>
      </c>
      <c r="AK52">
        <v>906.39</v>
      </c>
      <c r="AL52">
        <v>906.39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70</v>
      </c>
      <c r="AU52">
        <v>10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1</v>
      </c>
      <c r="BD52" t="s">
        <v>3</v>
      </c>
      <c r="BE52" t="s">
        <v>3</v>
      </c>
      <c r="BF52" t="s">
        <v>3</v>
      </c>
      <c r="BG52" t="s">
        <v>3</v>
      </c>
      <c r="BH52">
        <v>3</v>
      </c>
      <c r="BI52">
        <v>4</v>
      </c>
      <c r="BJ52" t="s">
        <v>3</v>
      </c>
      <c r="BM52">
        <v>0</v>
      </c>
      <c r="BN52">
        <v>0</v>
      </c>
      <c r="BO52" t="s">
        <v>3</v>
      </c>
      <c r="BP52">
        <v>0</v>
      </c>
      <c r="BQ52">
        <v>1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70</v>
      </c>
      <c r="CA52">
        <v>10</v>
      </c>
      <c r="CB52" t="s">
        <v>3</v>
      </c>
      <c r="CE52">
        <v>0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41"/>
        <v>22659.75</v>
      </c>
      <c r="CQ52">
        <f t="shared" si="42"/>
        <v>906.39</v>
      </c>
      <c r="CR52">
        <f t="shared" si="43"/>
        <v>0</v>
      </c>
      <c r="CS52">
        <f t="shared" si="44"/>
        <v>0</v>
      </c>
      <c r="CT52">
        <f t="shared" si="45"/>
        <v>0</v>
      </c>
      <c r="CU52">
        <f t="shared" si="46"/>
        <v>0</v>
      </c>
      <c r="CV52">
        <f t="shared" si="47"/>
        <v>0</v>
      </c>
      <c r="CW52">
        <f t="shared" si="48"/>
        <v>0</v>
      </c>
      <c r="CX52">
        <f t="shared" si="49"/>
        <v>0</v>
      </c>
      <c r="CY52">
        <f t="shared" si="50"/>
        <v>0</v>
      </c>
      <c r="CZ52">
        <f t="shared" si="51"/>
        <v>0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1010</v>
      </c>
      <c r="DV52" t="s">
        <v>18</v>
      </c>
      <c r="DW52" t="s">
        <v>18</v>
      </c>
      <c r="DX52">
        <v>1</v>
      </c>
      <c r="DZ52" t="s">
        <v>3</v>
      </c>
      <c r="EA52" t="s">
        <v>3</v>
      </c>
      <c r="EB52" t="s">
        <v>3</v>
      </c>
      <c r="EC52" t="s">
        <v>3</v>
      </c>
      <c r="EE52">
        <v>80196140</v>
      </c>
      <c r="EF52">
        <v>1</v>
      </c>
      <c r="EG52" t="s">
        <v>20</v>
      </c>
      <c r="EH52">
        <v>0</v>
      </c>
      <c r="EI52" t="s">
        <v>3</v>
      </c>
      <c r="EJ52">
        <v>4</v>
      </c>
      <c r="EK52">
        <v>0</v>
      </c>
      <c r="EL52" t="s">
        <v>21</v>
      </c>
      <c r="EM52" t="s">
        <v>22</v>
      </c>
      <c r="EO52" t="s">
        <v>3</v>
      </c>
      <c r="EQ52">
        <v>0</v>
      </c>
      <c r="ER52">
        <v>906.39</v>
      </c>
      <c r="ES52">
        <v>906.39</v>
      </c>
      <c r="ET52">
        <v>0</v>
      </c>
      <c r="EU52">
        <v>0</v>
      </c>
      <c r="EV52">
        <v>0</v>
      </c>
      <c r="EW52">
        <v>0</v>
      </c>
      <c r="EX52">
        <v>0</v>
      </c>
      <c r="EZ52">
        <v>5</v>
      </c>
      <c r="FC52">
        <v>1</v>
      </c>
      <c r="FD52">
        <v>18</v>
      </c>
      <c r="FF52">
        <v>1087.67</v>
      </c>
      <c r="FQ52">
        <v>0</v>
      </c>
      <c r="FR52">
        <v>0</v>
      </c>
      <c r="FS52">
        <v>0</v>
      </c>
      <c r="FX52">
        <v>70</v>
      </c>
      <c r="FY52">
        <v>10</v>
      </c>
      <c r="GA52" t="s">
        <v>110</v>
      </c>
      <c r="GD52">
        <v>0</v>
      </c>
      <c r="GF52">
        <v>-1706615642</v>
      </c>
      <c r="GG52">
        <v>2</v>
      </c>
      <c r="GH52">
        <v>3</v>
      </c>
      <c r="GI52">
        <v>-2</v>
      </c>
      <c r="GJ52">
        <v>0</v>
      </c>
      <c r="GK52">
        <f>ROUND(R52*(R12)/100,2)</f>
        <v>0</v>
      </c>
      <c r="GL52">
        <f t="shared" si="52"/>
        <v>0</v>
      </c>
      <c r="GM52">
        <f t="shared" si="53"/>
        <v>22659.75</v>
      </c>
      <c r="GN52">
        <f t="shared" si="54"/>
        <v>0</v>
      </c>
      <c r="GO52">
        <f t="shared" si="55"/>
        <v>0</v>
      </c>
      <c r="GP52">
        <f t="shared" si="56"/>
        <v>22659.75</v>
      </c>
      <c r="GR52">
        <v>1</v>
      </c>
      <c r="GS52">
        <v>1</v>
      </c>
      <c r="GT52">
        <v>0</v>
      </c>
      <c r="GU52" t="s">
        <v>3</v>
      </c>
      <c r="GV52">
        <f t="shared" si="57"/>
        <v>0</v>
      </c>
      <c r="GW52">
        <v>1</v>
      </c>
      <c r="GX52">
        <f t="shared" si="58"/>
        <v>0</v>
      </c>
      <c r="HA52">
        <v>0</v>
      </c>
      <c r="HB52">
        <v>0</v>
      </c>
      <c r="HC52">
        <f t="shared" si="59"/>
        <v>0</v>
      </c>
      <c r="HE52" t="s">
        <v>27</v>
      </c>
      <c r="HF52" t="s">
        <v>27</v>
      </c>
      <c r="HM52" t="s">
        <v>3</v>
      </c>
      <c r="HN52" t="s">
        <v>3</v>
      </c>
      <c r="HO52" t="s">
        <v>3</v>
      </c>
      <c r="HP52" t="s">
        <v>3</v>
      </c>
      <c r="HQ52" t="s">
        <v>3</v>
      </c>
      <c r="HS52">
        <v>0</v>
      </c>
      <c r="IK52">
        <v>0</v>
      </c>
    </row>
    <row r="53" spans="1:245" x14ac:dyDescent="0.2">
      <c r="A53">
        <v>18</v>
      </c>
      <c r="B53">
        <v>1</v>
      </c>
      <c r="C53">
        <v>41</v>
      </c>
      <c r="E53" t="s">
        <v>111</v>
      </c>
      <c r="F53" t="s">
        <v>24</v>
      </c>
      <c r="G53" t="s">
        <v>112</v>
      </c>
      <c r="H53" t="s">
        <v>18</v>
      </c>
      <c r="I53">
        <f>I51*J53</f>
        <v>100</v>
      </c>
      <c r="J53">
        <v>4</v>
      </c>
      <c r="K53">
        <v>4</v>
      </c>
      <c r="O53">
        <f t="shared" si="21"/>
        <v>37080</v>
      </c>
      <c r="P53">
        <f t="shared" si="22"/>
        <v>37080</v>
      </c>
      <c r="Q53">
        <f t="shared" si="23"/>
        <v>0</v>
      </c>
      <c r="R53">
        <f t="shared" si="24"/>
        <v>0</v>
      </c>
      <c r="S53">
        <f t="shared" si="25"/>
        <v>0</v>
      </c>
      <c r="T53">
        <f t="shared" si="26"/>
        <v>0</v>
      </c>
      <c r="U53">
        <f t="shared" si="27"/>
        <v>0</v>
      </c>
      <c r="V53">
        <f t="shared" si="28"/>
        <v>0</v>
      </c>
      <c r="W53">
        <f t="shared" si="29"/>
        <v>0</v>
      </c>
      <c r="X53">
        <f t="shared" si="30"/>
        <v>0</v>
      </c>
      <c r="Y53">
        <f t="shared" si="31"/>
        <v>0</v>
      </c>
      <c r="AA53">
        <v>81141517</v>
      </c>
      <c r="AB53">
        <f t="shared" si="32"/>
        <v>370.8</v>
      </c>
      <c r="AC53">
        <f t="shared" si="33"/>
        <v>370.8</v>
      </c>
      <c r="AD53">
        <f t="shared" si="34"/>
        <v>0</v>
      </c>
      <c r="AE53">
        <f t="shared" si="35"/>
        <v>0</v>
      </c>
      <c r="AF53">
        <f t="shared" si="36"/>
        <v>0</v>
      </c>
      <c r="AG53">
        <f t="shared" si="37"/>
        <v>0</v>
      </c>
      <c r="AH53">
        <f t="shared" si="38"/>
        <v>0</v>
      </c>
      <c r="AI53">
        <f t="shared" si="39"/>
        <v>0</v>
      </c>
      <c r="AJ53">
        <f t="shared" si="40"/>
        <v>0</v>
      </c>
      <c r="AK53">
        <v>370.8</v>
      </c>
      <c r="AL53">
        <v>370.8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70</v>
      </c>
      <c r="AU53">
        <v>10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1</v>
      </c>
      <c r="BD53" t="s">
        <v>3</v>
      </c>
      <c r="BE53" t="s">
        <v>3</v>
      </c>
      <c r="BF53" t="s">
        <v>3</v>
      </c>
      <c r="BG53" t="s">
        <v>3</v>
      </c>
      <c r="BH53">
        <v>3</v>
      </c>
      <c r="BI53">
        <v>4</v>
      </c>
      <c r="BJ53" t="s">
        <v>3</v>
      </c>
      <c r="BM53">
        <v>0</v>
      </c>
      <c r="BN53">
        <v>0</v>
      </c>
      <c r="BO53" t="s">
        <v>3</v>
      </c>
      <c r="BP53">
        <v>0</v>
      </c>
      <c r="BQ53">
        <v>1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70</v>
      </c>
      <c r="CA53">
        <v>10</v>
      </c>
      <c r="CB53" t="s">
        <v>3</v>
      </c>
      <c r="CE53">
        <v>0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41"/>
        <v>37080</v>
      </c>
      <c r="CQ53">
        <f t="shared" si="42"/>
        <v>370.8</v>
      </c>
      <c r="CR53">
        <f t="shared" si="43"/>
        <v>0</v>
      </c>
      <c r="CS53">
        <f t="shared" si="44"/>
        <v>0</v>
      </c>
      <c r="CT53">
        <f t="shared" si="45"/>
        <v>0</v>
      </c>
      <c r="CU53">
        <f t="shared" si="46"/>
        <v>0</v>
      </c>
      <c r="CV53">
        <f t="shared" si="47"/>
        <v>0</v>
      </c>
      <c r="CW53">
        <f t="shared" si="48"/>
        <v>0</v>
      </c>
      <c r="CX53">
        <f t="shared" si="49"/>
        <v>0</v>
      </c>
      <c r="CY53">
        <f t="shared" si="50"/>
        <v>0</v>
      </c>
      <c r="CZ53">
        <f t="shared" si="51"/>
        <v>0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1010</v>
      </c>
      <c r="DV53" t="s">
        <v>18</v>
      </c>
      <c r="DW53" t="s">
        <v>18</v>
      </c>
      <c r="DX53">
        <v>1</v>
      </c>
      <c r="DZ53" t="s">
        <v>3</v>
      </c>
      <c r="EA53" t="s">
        <v>3</v>
      </c>
      <c r="EB53" t="s">
        <v>3</v>
      </c>
      <c r="EC53" t="s">
        <v>3</v>
      </c>
      <c r="EE53">
        <v>80196140</v>
      </c>
      <c r="EF53">
        <v>1</v>
      </c>
      <c r="EG53" t="s">
        <v>20</v>
      </c>
      <c r="EH53">
        <v>0</v>
      </c>
      <c r="EI53" t="s">
        <v>3</v>
      </c>
      <c r="EJ53">
        <v>4</v>
      </c>
      <c r="EK53">
        <v>0</v>
      </c>
      <c r="EL53" t="s">
        <v>21</v>
      </c>
      <c r="EM53" t="s">
        <v>22</v>
      </c>
      <c r="EO53" t="s">
        <v>3</v>
      </c>
      <c r="EQ53">
        <v>0</v>
      </c>
      <c r="ER53">
        <v>370.8</v>
      </c>
      <c r="ES53">
        <v>370.8</v>
      </c>
      <c r="ET53">
        <v>0</v>
      </c>
      <c r="EU53">
        <v>0</v>
      </c>
      <c r="EV53">
        <v>0</v>
      </c>
      <c r="EW53">
        <v>0</v>
      </c>
      <c r="EX53">
        <v>0</v>
      </c>
      <c r="EZ53">
        <v>5</v>
      </c>
      <c r="FC53">
        <v>1</v>
      </c>
      <c r="FD53">
        <v>18</v>
      </c>
      <c r="FF53">
        <v>444.96</v>
      </c>
      <c r="FQ53">
        <v>0</v>
      </c>
      <c r="FR53">
        <v>0</v>
      </c>
      <c r="FS53">
        <v>0</v>
      </c>
      <c r="FX53">
        <v>70</v>
      </c>
      <c r="FY53">
        <v>10</v>
      </c>
      <c r="GA53" t="s">
        <v>113</v>
      </c>
      <c r="GD53">
        <v>0</v>
      </c>
      <c r="GF53">
        <v>-584541272</v>
      </c>
      <c r="GG53">
        <v>2</v>
      </c>
      <c r="GH53">
        <v>3</v>
      </c>
      <c r="GI53">
        <v>-2</v>
      </c>
      <c r="GJ53">
        <v>0</v>
      </c>
      <c r="GK53">
        <f>ROUND(R53*(R12)/100,2)</f>
        <v>0</v>
      </c>
      <c r="GL53">
        <f t="shared" si="52"/>
        <v>0</v>
      </c>
      <c r="GM53">
        <f t="shared" si="53"/>
        <v>37080</v>
      </c>
      <c r="GN53">
        <f t="shared" si="54"/>
        <v>0</v>
      </c>
      <c r="GO53">
        <f t="shared" si="55"/>
        <v>0</v>
      </c>
      <c r="GP53">
        <f t="shared" si="56"/>
        <v>37080</v>
      </c>
      <c r="GR53">
        <v>1</v>
      </c>
      <c r="GS53">
        <v>1</v>
      </c>
      <c r="GT53">
        <v>0</v>
      </c>
      <c r="GU53" t="s">
        <v>3</v>
      </c>
      <c r="GV53">
        <f t="shared" si="57"/>
        <v>0</v>
      </c>
      <c r="GW53">
        <v>1</v>
      </c>
      <c r="GX53">
        <f t="shared" si="58"/>
        <v>0</v>
      </c>
      <c r="HA53">
        <v>0</v>
      </c>
      <c r="HB53">
        <v>0</v>
      </c>
      <c r="HC53">
        <f t="shared" si="59"/>
        <v>0</v>
      </c>
      <c r="HE53" t="s">
        <v>27</v>
      </c>
      <c r="HF53" t="s">
        <v>27</v>
      </c>
      <c r="HM53" t="s">
        <v>3</v>
      </c>
      <c r="HN53" t="s">
        <v>3</v>
      </c>
      <c r="HO53" t="s">
        <v>3</v>
      </c>
      <c r="HP53" t="s">
        <v>3</v>
      </c>
      <c r="HQ53" t="s">
        <v>3</v>
      </c>
      <c r="HS53">
        <v>0</v>
      </c>
      <c r="IK53">
        <v>0</v>
      </c>
    </row>
    <row r="54" spans="1:245" x14ac:dyDescent="0.2">
      <c r="A54">
        <v>17</v>
      </c>
      <c r="B54">
        <v>1</v>
      </c>
      <c r="C54">
        <f>ROW(SmtRes!A44)</f>
        <v>44</v>
      </c>
      <c r="D54">
        <f>ROW(EtalonRes!A26)</f>
        <v>26</v>
      </c>
      <c r="E54" t="s">
        <v>114</v>
      </c>
      <c r="F54" t="s">
        <v>115</v>
      </c>
      <c r="G54" t="s">
        <v>116</v>
      </c>
      <c r="H54" t="s">
        <v>50</v>
      </c>
      <c r="I54">
        <f>ROUND(18/100,9)</f>
        <v>0.18</v>
      </c>
      <c r="J54">
        <v>0</v>
      </c>
      <c r="K54">
        <f>ROUND(18/100,9)</f>
        <v>0.18</v>
      </c>
      <c r="O54">
        <f t="shared" si="21"/>
        <v>6494.09</v>
      </c>
      <c r="P54">
        <f t="shared" si="22"/>
        <v>0</v>
      </c>
      <c r="Q54">
        <f t="shared" si="23"/>
        <v>4468.1499999999996</v>
      </c>
      <c r="R54">
        <f t="shared" si="24"/>
        <v>1555.04</v>
      </c>
      <c r="S54">
        <f t="shared" si="25"/>
        <v>2025.94</v>
      </c>
      <c r="T54">
        <f t="shared" si="26"/>
        <v>0</v>
      </c>
      <c r="U54">
        <f t="shared" si="27"/>
        <v>3.7259999999999995</v>
      </c>
      <c r="V54">
        <f t="shared" si="28"/>
        <v>0</v>
      </c>
      <c r="W54">
        <f t="shared" si="29"/>
        <v>0</v>
      </c>
      <c r="X54">
        <f t="shared" si="30"/>
        <v>1418.16</v>
      </c>
      <c r="Y54">
        <f t="shared" si="31"/>
        <v>202.59</v>
      </c>
      <c r="AA54">
        <v>81141517</v>
      </c>
      <c r="AB54">
        <f t="shared" si="32"/>
        <v>36078.26</v>
      </c>
      <c r="AC54">
        <f t="shared" si="33"/>
        <v>0</v>
      </c>
      <c r="AD54">
        <f t="shared" si="34"/>
        <v>24823.05</v>
      </c>
      <c r="AE54">
        <f t="shared" si="35"/>
        <v>8639.1</v>
      </c>
      <c r="AF54">
        <f t="shared" si="36"/>
        <v>11255.21</v>
      </c>
      <c r="AG54">
        <f t="shared" si="37"/>
        <v>0</v>
      </c>
      <c r="AH54">
        <f t="shared" si="38"/>
        <v>20.7</v>
      </c>
      <c r="AI54">
        <f t="shared" si="39"/>
        <v>0</v>
      </c>
      <c r="AJ54">
        <f t="shared" si="40"/>
        <v>0</v>
      </c>
      <c r="AK54">
        <v>36078.26</v>
      </c>
      <c r="AL54">
        <v>0</v>
      </c>
      <c r="AM54">
        <v>24823.05</v>
      </c>
      <c r="AN54">
        <v>8639.1</v>
      </c>
      <c r="AO54">
        <v>11255.21</v>
      </c>
      <c r="AP54">
        <v>0</v>
      </c>
      <c r="AQ54">
        <v>20.7</v>
      </c>
      <c r="AR54">
        <v>0</v>
      </c>
      <c r="AS54">
        <v>0</v>
      </c>
      <c r="AT54">
        <v>70</v>
      </c>
      <c r="AU54">
        <v>10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1</v>
      </c>
      <c r="BD54" t="s">
        <v>3</v>
      </c>
      <c r="BE54" t="s">
        <v>3</v>
      </c>
      <c r="BF54" t="s">
        <v>3</v>
      </c>
      <c r="BG54" t="s">
        <v>3</v>
      </c>
      <c r="BH54">
        <v>0</v>
      </c>
      <c r="BI54">
        <v>4</v>
      </c>
      <c r="BJ54" t="s">
        <v>117</v>
      </c>
      <c r="BM54">
        <v>0</v>
      </c>
      <c r="BN54">
        <v>0</v>
      </c>
      <c r="BO54" t="s">
        <v>3</v>
      </c>
      <c r="BP54">
        <v>0</v>
      </c>
      <c r="BQ54">
        <v>1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70</v>
      </c>
      <c r="CA54">
        <v>10</v>
      </c>
      <c r="CB54" t="s">
        <v>3</v>
      </c>
      <c r="CE54">
        <v>0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41"/>
        <v>6494.09</v>
      </c>
      <c r="CQ54">
        <f t="shared" si="42"/>
        <v>0</v>
      </c>
      <c r="CR54">
        <f t="shared" si="43"/>
        <v>24823.05</v>
      </c>
      <c r="CS54">
        <f t="shared" si="44"/>
        <v>8639.1</v>
      </c>
      <c r="CT54">
        <f t="shared" si="45"/>
        <v>11255.21</v>
      </c>
      <c r="CU54">
        <f t="shared" si="46"/>
        <v>0</v>
      </c>
      <c r="CV54">
        <f t="shared" si="47"/>
        <v>20.7</v>
      </c>
      <c r="CW54">
        <f t="shared" si="48"/>
        <v>0</v>
      </c>
      <c r="CX54">
        <f t="shared" si="49"/>
        <v>0</v>
      </c>
      <c r="CY54">
        <f t="shared" si="50"/>
        <v>1418.1580000000001</v>
      </c>
      <c r="CZ54">
        <f t="shared" si="51"/>
        <v>202.59400000000002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1003</v>
      </c>
      <c r="DV54" t="s">
        <v>50</v>
      </c>
      <c r="DW54" t="s">
        <v>50</v>
      </c>
      <c r="DX54">
        <v>100</v>
      </c>
      <c r="DZ54" t="s">
        <v>3</v>
      </c>
      <c r="EA54" t="s">
        <v>3</v>
      </c>
      <c r="EB54" t="s">
        <v>3</v>
      </c>
      <c r="EC54" t="s">
        <v>3</v>
      </c>
      <c r="EE54">
        <v>80196140</v>
      </c>
      <c r="EF54">
        <v>1</v>
      </c>
      <c r="EG54" t="s">
        <v>20</v>
      </c>
      <c r="EH54">
        <v>0</v>
      </c>
      <c r="EI54" t="s">
        <v>3</v>
      </c>
      <c r="EJ54">
        <v>4</v>
      </c>
      <c r="EK54">
        <v>0</v>
      </c>
      <c r="EL54" t="s">
        <v>21</v>
      </c>
      <c r="EM54" t="s">
        <v>22</v>
      </c>
      <c r="EO54" t="s">
        <v>3</v>
      </c>
      <c r="EQ54">
        <v>0</v>
      </c>
      <c r="ER54">
        <v>36078.26</v>
      </c>
      <c r="ES54">
        <v>0</v>
      </c>
      <c r="ET54">
        <v>24823.05</v>
      </c>
      <c r="EU54">
        <v>8639.1</v>
      </c>
      <c r="EV54">
        <v>11255.21</v>
      </c>
      <c r="EW54">
        <v>20.7</v>
      </c>
      <c r="EX54">
        <v>0</v>
      </c>
      <c r="EY54">
        <v>0</v>
      </c>
      <c r="FQ54">
        <v>0</v>
      </c>
      <c r="FR54">
        <v>0</v>
      </c>
      <c r="FS54">
        <v>0</v>
      </c>
      <c r="FX54">
        <v>70</v>
      </c>
      <c r="FY54">
        <v>10</v>
      </c>
      <c r="GA54" t="s">
        <v>3</v>
      </c>
      <c r="GD54">
        <v>0</v>
      </c>
      <c r="GF54">
        <v>-994235790</v>
      </c>
      <c r="GG54">
        <v>2</v>
      </c>
      <c r="GH54">
        <v>1</v>
      </c>
      <c r="GI54">
        <v>-2</v>
      </c>
      <c r="GJ54">
        <v>0</v>
      </c>
      <c r="GK54">
        <f>ROUND(R54*(R12)/100,2)</f>
        <v>1679.44</v>
      </c>
      <c r="GL54">
        <f t="shared" si="52"/>
        <v>0</v>
      </c>
      <c r="GM54">
        <f t="shared" si="53"/>
        <v>9794.2800000000007</v>
      </c>
      <c r="GN54">
        <f t="shared" si="54"/>
        <v>0</v>
      </c>
      <c r="GO54">
        <f t="shared" si="55"/>
        <v>0</v>
      </c>
      <c r="GP54">
        <f t="shared" si="56"/>
        <v>9794.2800000000007</v>
      </c>
      <c r="GR54">
        <v>0</v>
      </c>
      <c r="GS54">
        <v>3</v>
      </c>
      <c r="GT54">
        <v>0</v>
      </c>
      <c r="GU54" t="s">
        <v>3</v>
      </c>
      <c r="GV54">
        <f t="shared" si="57"/>
        <v>0</v>
      </c>
      <c r="GW54">
        <v>1</v>
      </c>
      <c r="GX54">
        <f t="shared" si="58"/>
        <v>0</v>
      </c>
      <c r="HA54">
        <v>0</v>
      </c>
      <c r="HB54">
        <v>0</v>
      </c>
      <c r="HC54">
        <f t="shared" si="59"/>
        <v>0</v>
      </c>
      <c r="HE54" t="s">
        <v>3</v>
      </c>
      <c r="HF54" t="s">
        <v>3</v>
      </c>
      <c r="HM54" t="s">
        <v>3</v>
      </c>
      <c r="HN54" t="s">
        <v>3</v>
      </c>
      <c r="HO54" t="s">
        <v>3</v>
      </c>
      <c r="HP54" t="s">
        <v>3</v>
      </c>
      <c r="HQ54" t="s">
        <v>3</v>
      </c>
      <c r="HS54">
        <v>0</v>
      </c>
      <c r="IK54">
        <v>0</v>
      </c>
    </row>
    <row r="55" spans="1:245" x14ac:dyDescent="0.2">
      <c r="A55">
        <v>18</v>
      </c>
      <c r="B55">
        <v>1</v>
      </c>
      <c r="C55">
        <v>44</v>
      </c>
      <c r="E55" t="s">
        <v>118</v>
      </c>
      <c r="F55" t="s">
        <v>24</v>
      </c>
      <c r="G55" t="s">
        <v>119</v>
      </c>
      <c r="H55" t="s">
        <v>59</v>
      </c>
      <c r="I55">
        <f>I54*J55</f>
        <v>18</v>
      </c>
      <c r="J55">
        <v>100</v>
      </c>
      <c r="K55">
        <v>100</v>
      </c>
      <c r="O55">
        <f t="shared" si="21"/>
        <v>945539.64</v>
      </c>
      <c r="P55">
        <f t="shared" si="22"/>
        <v>945539.64</v>
      </c>
      <c r="Q55">
        <f t="shared" si="23"/>
        <v>0</v>
      </c>
      <c r="R55">
        <f t="shared" si="24"/>
        <v>0</v>
      </c>
      <c r="S55">
        <f t="shared" si="25"/>
        <v>0</v>
      </c>
      <c r="T55">
        <f t="shared" si="26"/>
        <v>0</v>
      </c>
      <c r="U55">
        <f t="shared" si="27"/>
        <v>0</v>
      </c>
      <c r="V55">
        <f t="shared" si="28"/>
        <v>0</v>
      </c>
      <c r="W55">
        <f t="shared" si="29"/>
        <v>0</v>
      </c>
      <c r="X55">
        <f t="shared" si="30"/>
        <v>0</v>
      </c>
      <c r="Y55">
        <f t="shared" si="31"/>
        <v>0</v>
      </c>
      <c r="AA55">
        <v>81141517</v>
      </c>
      <c r="AB55">
        <f t="shared" si="32"/>
        <v>52529.98</v>
      </c>
      <c r="AC55">
        <f t="shared" si="33"/>
        <v>52529.98</v>
      </c>
      <c r="AD55">
        <f t="shared" si="34"/>
        <v>0</v>
      </c>
      <c r="AE55">
        <f t="shared" si="35"/>
        <v>0</v>
      </c>
      <c r="AF55">
        <f t="shared" si="36"/>
        <v>0</v>
      </c>
      <c r="AG55">
        <f t="shared" si="37"/>
        <v>0</v>
      </c>
      <c r="AH55">
        <f t="shared" si="38"/>
        <v>0</v>
      </c>
      <c r="AI55">
        <f t="shared" si="39"/>
        <v>0</v>
      </c>
      <c r="AJ55">
        <f t="shared" si="40"/>
        <v>0</v>
      </c>
      <c r="AK55">
        <v>52529.98</v>
      </c>
      <c r="AL55">
        <v>52529.98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70</v>
      </c>
      <c r="AU55">
        <v>10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1</v>
      </c>
      <c r="BD55" t="s">
        <v>3</v>
      </c>
      <c r="BE55" t="s">
        <v>3</v>
      </c>
      <c r="BF55" t="s">
        <v>3</v>
      </c>
      <c r="BG55" t="s">
        <v>3</v>
      </c>
      <c r="BH55">
        <v>3</v>
      </c>
      <c r="BI55">
        <v>4</v>
      </c>
      <c r="BJ55" t="s">
        <v>3</v>
      </c>
      <c r="BM55">
        <v>0</v>
      </c>
      <c r="BN55">
        <v>0</v>
      </c>
      <c r="BO55" t="s">
        <v>3</v>
      </c>
      <c r="BP55">
        <v>0</v>
      </c>
      <c r="BQ55">
        <v>1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70</v>
      </c>
      <c r="CA55">
        <v>10</v>
      </c>
      <c r="CB55" t="s">
        <v>3</v>
      </c>
      <c r="CE55">
        <v>0</v>
      </c>
      <c r="CF55">
        <v>0</v>
      </c>
      <c r="CG55">
        <v>0</v>
      </c>
      <c r="CM55">
        <v>0</v>
      </c>
      <c r="CN55" t="s">
        <v>3</v>
      </c>
      <c r="CO55">
        <v>0</v>
      </c>
      <c r="CP55">
        <f t="shared" si="41"/>
        <v>945539.64</v>
      </c>
      <c r="CQ55">
        <f t="shared" si="42"/>
        <v>52529.98</v>
      </c>
      <c r="CR55">
        <f t="shared" si="43"/>
        <v>0</v>
      </c>
      <c r="CS55">
        <f t="shared" si="44"/>
        <v>0</v>
      </c>
      <c r="CT55">
        <f t="shared" si="45"/>
        <v>0</v>
      </c>
      <c r="CU55">
        <f t="shared" si="46"/>
        <v>0</v>
      </c>
      <c r="CV55">
        <f t="shared" si="47"/>
        <v>0</v>
      </c>
      <c r="CW55">
        <f t="shared" si="48"/>
        <v>0</v>
      </c>
      <c r="CX55">
        <f t="shared" si="49"/>
        <v>0</v>
      </c>
      <c r="CY55">
        <f t="shared" si="50"/>
        <v>0</v>
      </c>
      <c r="CZ55">
        <f t="shared" si="51"/>
        <v>0</v>
      </c>
      <c r="DC55" t="s">
        <v>3</v>
      </c>
      <c r="DD55" t="s">
        <v>3</v>
      </c>
      <c r="DE55" t="s">
        <v>3</v>
      </c>
      <c r="DF55" t="s">
        <v>3</v>
      </c>
      <c r="DG55" t="s">
        <v>3</v>
      </c>
      <c r="DH55" t="s">
        <v>3</v>
      </c>
      <c r="DI55" t="s">
        <v>3</v>
      </c>
      <c r="DJ55" t="s">
        <v>3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1013</v>
      </c>
      <c r="DV55" t="s">
        <v>59</v>
      </c>
      <c r="DW55" t="s">
        <v>59</v>
      </c>
      <c r="DX55">
        <v>1</v>
      </c>
      <c r="DZ55" t="s">
        <v>3</v>
      </c>
      <c r="EA55" t="s">
        <v>3</v>
      </c>
      <c r="EB55" t="s">
        <v>3</v>
      </c>
      <c r="EC55" t="s">
        <v>3</v>
      </c>
      <c r="EE55">
        <v>80196140</v>
      </c>
      <c r="EF55">
        <v>1</v>
      </c>
      <c r="EG55" t="s">
        <v>20</v>
      </c>
      <c r="EH55">
        <v>0</v>
      </c>
      <c r="EI55" t="s">
        <v>3</v>
      </c>
      <c r="EJ55">
        <v>4</v>
      </c>
      <c r="EK55">
        <v>0</v>
      </c>
      <c r="EL55" t="s">
        <v>21</v>
      </c>
      <c r="EM55" t="s">
        <v>22</v>
      </c>
      <c r="EO55" t="s">
        <v>3</v>
      </c>
      <c r="EQ55">
        <v>0</v>
      </c>
      <c r="ER55">
        <v>52529.98</v>
      </c>
      <c r="ES55">
        <v>52529.98</v>
      </c>
      <c r="ET55">
        <v>0</v>
      </c>
      <c r="EU55">
        <v>0</v>
      </c>
      <c r="EV55">
        <v>0</v>
      </c>
      <c r="EW55">
        <v>0</v>
      </c>
      <c r="EX55">
        <v>0</v>
      </c>
      <c r="EZ55">
        <v>5</v>
      </c>
      <c r="FC55">
        <v>1</v>
      </c>
      <c r="FD55">
        <v>18</v>
      </c>
      <c r="FF55">
        <v>63035.98</v>
      </c>
      <c r="FQ55">
        <v>0</v>
      </c>
      <c r="FR55">
        <v>0</v>
      </c>
      <c r="FS55">
        <v>0</v>
      </c>
      <c r="FX55">
        <v>70</v>
      </c>
      <c r="FY55">
        <v>10</v>
      </c>
      <c r="GA55" t="s">
        <v>120</v>
      </c>
      <c r="GD55">
        <v>0</v>
      </c>
      <c r="GF55">
        <v>-1984333979</v>
      </c>
      <c r="GG55">
        <v>2</v>
      </c>
      <c r="GH55">
        <v>3</v>
      </c>
      <c r="GI55">
        <v>-2</v>
      </c>
      <c r="GJ55">
        <v>0</v>
      </c>
      <c r="GK55">
        <f>ROUND(R55*(R12)/100,2)</f>
        <v>0</v>
      </c>
      <c r="GL55">
        <f t="shared" si="52"/>
        <v>0</v>
      </c>
      <c r="GM55">
        <f t="shared" si="53"/>
        <v>945539.64</v>
      </c>
      <c r="GN55">
        <f t="shared" si="54"/>
        <v>0</v>
      </c>
      <c r="GO55">
        <f t="shared" si="55"/>
        <v>0</v>
      </c>
      <c r="GP55">
        <f t="shared" si="56"/>
        <v>945539.64</v>
      </c>
      <c r="GR55">
        <v>1</v>
      </c>
      <c r="GS55">
        <v>1</v>
      </c>
      <c r="GT55">
        <v>0</v>
      </c>
      <c r="GU55" t="s">
        <v>3</v>
      </c>
      <c r="GV55">
        <f t="shared" si="57"/>
        <v>0</v>
      </c>
      <c r="GW55">
        <v>1</v>
      </c>
      <c r="GX55">
        <f t="shared" si="58"/>
        <v>0</v>
      </c>
      <c r="HA55">
        <v>0</v>
      </c>
      <c r="HB55">
        <v>0</v>
      </c>
      <c r="HC55">
        <f t="shared" si="59"/>
        <v>0</v>
      </c>
      <c r="HE55" t="s">
        <v>27</v>
      </c>
      <c r="HF55" t="s">
        <v>27</v>
      </c>
      <c r="HM55" t="s">
        <v>3</v>
      </c>
      <c r="HN55" t="s">
        <v>3</v>
      </c>
      <c r="HO55" t="s">
        <v>3</v>
      </c>
      <c r="HP55" t="s">
        <v>3</v>
      </c>
      <c r="HQ55" t="s">
        <v>3</v>
      </c>
      <c r="HS55">
        <v>0</v>
      </c>
      <c r="IK55">
        <v>0</v>
      </c>
    </row>
    <row r="56" spans="1:245" x14ac:dyDescent="0.2">
      <c r="A56">
        <v>17</v>
      </c>
      <c r="B56">
        <v>1</v>
      </c>
      <c r="C56">
        <f>ROW(SmtRes!A47)</f>
        <v>47</v>
      </c>
      <c r="D56">
        <f>ROW(EtalonRes!A28)</f>
        <v>28</v>
      </c>
      <c r="E56" t="s">
        <v>121</v>
      </c>
      <c r="F56" t="s">
        <v>115</v>
      </c>
      <c r="G56" t="s">
        <v>122</v>
      </c>
      <c r="H56" t="s">
        <v>50</v>
      </c>
      <c r="I56">
        <f>ROUND(14/100,9)</f>
        <v>0.14000000000000001</v>
      </c>
      <c r="J56">
        <v>0</v>
      </c>
      <c r="K56">
        <f>ROUND(14/100,9)</f>
        <v>0.14000000000000001</v>
      </c>
      <c r="O56">
        <f t="shared" si="21"/>
        <v>5050.96</v>
      </c>
      <c r="P56">
        <f t="shared" si="22"/>
        <v>0</v>
      </c>
      <c r="Q56">
        <f t="shared" si="23"/>
        <v>3475.23</v>
      </c>
      <c r="R56">
        <f t="shared" si="24"/>
        <v>1209.47</v>
      </c>
      <c r="S56">
        <f t="shared" si="25"/>
        <v>1575.73</v>
      </c>
      <c r="T56">
        <f t="shared" si="26"/>
        <v>0</v>
      </c>
      <c r="U56">
        <f t="shared" si="27"/>
        <v>2.8980000000000001</v>
      </c>
      <c r="V56">
        <f t="shared" si="28"/>
        <v>0</v>
      </c>
      <c r="W56">
        <f t="shared" si="29"/>
        <v>0</v>
      </c>
      <c r="X56">
        <f t="shared" si="30"/>
        <v>1103.01</v>
      </c>
      <c r="Y56">
        <f t="shared" si="31"/>
        <v>157.57</v>
      </c>
      <c r="AA56">
        <v>81141517</v>
      </c>
      <c r="AB56">
        <f t="shared" si="32"/>
        <v>36078.26</v>
      </c>
      <c r="AC56">
        <f t="shared" si="33"/>
        <v>0</v>
      </c>
      <c r="AD56">
        <f t="shared" si="34"/>
        <v>24823.05</v>
      </c>
      <c r="AE56">
        <f t="shared" si="35"/>
        <v>8639.1</v>
      </c>
      <c r="AF56">
        <f t="shared" si="36"/>
        <v>11255.21</v>
      </c>
      <c r="AG56">
        <f t="shared" si="37"/>
        <v>0</v>
      </c>
      <c r="AH56">
        <f t="shared" si="38"/>
        <v>20.7</v>
      </c>
      <c r="AI56">
        <f t="shared" si="39"/>
        <v>0</v>
      </c>
      <c r="AJ56">
        <f t="shared" si="40"/>
        <v>0</v>
      </c>
      <c r="AK56">
        <v>36078.26</v>
      </c>
      <c r="AL56">
        <v>0</v>
      </c>
      <c r="AM56">
        <v>24823.05</v>
      </c>
      <c r="AN56">
        <v>8639.1</v>
      </c>
      <c r="AO56">
        <v>11255.21</v>
      </c>
      <c r="AP56">
        <v>0</v>
      </c>
      <c r="AQ56">
        <v>20.7</v>
      </c>
      <c r="AR56">
        <v>0</v>
      </c>
      <c r="AS56">
        <v>0</v>
      </c>
      <c r="AT56">
        <v>70</v>
      </c>
      <c r="AU56">
        <v>10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1</v>
      </c>
      <c r="BD56" t="s">
        <v>3</v>
      </c>
      <c r="BE56" t="s">
        <v>3</v>
      </c>
      <c r="BF56" t="s">
        <v>3</v>
      </c>
      <c r="BG56" t="s">
        <v>3</v>
      </c>
      <c r="BH56">
        <v>0</v>
      </c>
      <c r="BI56">
        <v>4</v>
      </c>
      <c r="BJ56" t="s">
        <v>117</v>
      </c>
      <c r="BM56">
        <v>0</v>
      </c>
      <c r="BN56">
        <v>0</v>
      </c>
      <c r="BO56" t="s">
        <v>3</v>
      </c>
      <c r="BP56">
        <v>0</v>
      </c>
      <c r="BQ56">
        <v>1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70</v>
      </c>
      <c r="CA56">
        <v>10</v>
      </c>
      <c r="CB56" t="s">
        <v>3</v>
      </c>
      <c r="CE56">
        <v>0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si="41"/>
        <v>5050.96</v>
      </c>
      <c r="CQ56">
        <f t="shared" si="42"/>
        <v>0</v>
      </c>
      <c r="CR56">
        <f t="shared" si="43"/>
        <v>24823.05</v>
      </c>
      <c r="CS56">
        <f t="shared" si="44"/>
        <v>8639.1</v>
      </c>
      <c r="CT56">
        <f t="shared" si="45"/>
        <v>11255.21</v>
      </c>
      <c r="CU56">
        <f t="shared" si="46"/>
        <v>0</v>
      </c>
      <c r="CV56">
        <f t="shared" si="47"/>
        <v>20.7</v>
      </c>
      <c r="CW56">
        <f t="shared" si="48"/>
        <v>0</v>
      </c>
      <c r="CX56">
        <f t="shared" si="49"/>
        <v>0</v>
      </c>
      <c r="CY56">
        <f t="shared" si="50"/>
        <v>1103.011</v>
      </c>
      <c r="CZ56">
        <f t="shared" si="51"/>
        <v>157.57299999999998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1003</v>
      </c>
      <c r="DV56" t="s">
        <v>50</v>
      </c>
      <c r="DW56" t="s">
        <v>50</v>
      </c>
      <c r="DX56">
        <v>100</v>
      </c>
      <c r="DZ56" t="s">
        <v>3</v>
      </c>
      <c r="EA56" t="s">
        <v>3</v>
      </c>
      <c r="EB56" t="s">
        <v>3</v>
      </c>
      <c r="EC56" t="s">
        <v>3</v>
      </c>
      <c r="EE56">
        <v>80196140</v>
      </c>
      <c r="EF56">
        <v>1</v>
      </c>
      <c r="EG56" t="s">
        <v>20</v>
      </c>
      <c r="EH56">
        <v>0</v>
      </c>
      <c r="EI56" t="s">
        <v>3</v>
      </c>
      <c r="EJ56">
        <v>4</v>
      </c>
      <c r="EK56">
        <v>0</v>
      </c>
      <c r="EL56" t="s">
        <v>21</v>
      </c>
      <c r="EM56" t="s">
        <v>22</v>
      </c>
      <c r="EO56" t="s">
        <v>3</v>
      </c>
      <c r="EQ56">
        <v>0</v>
      </c>
      <c r="ER56">
        <v>36078.26</v>
      </c>
      <c r="ES56">
        <v>0</v>
      </c>
      <c r="ET56">
        <v>24823.05</v>
      </c>
      <c r="EU56">
        <v>8639.1</v>
      </c>
      <c r="EV56">
        <v>11255.21</v>
      </c>
      <c r="EW56">
        <v>20.7</v>
      </c>
      <c r="EX56">
        <v>0</v>
      </c>
      <c r="EY56">
        <v>0</v>
      </c>
      <c r="FQ56">
        <v>0</v>
      </c>
      <c r="FR56">
        <v>0</v>
      </c>
      <c r="FS56">
        <v>0</v>
      </c>
      <c r="FX56">
        <v>70</v>
      </c>
      <c r="FY56">
        <v>10</v>
      </c>
      <c r="GA56" t="s">
        <v>3</v>
      </c>
      <c r="GD56">
        <v>0</v>
      </c>
      <c r="GF56">
        <v>-1838609798</v>
      </c>
      <c r="GG56">
        <v>2</v>
      </c>
      <c r="GH56">
        <v>1</v>
      </c>
      <c r="GI56">
        <v>-2</v>
      </c>
      <c r="GJ56">
        <v>0</v>
      </c>
      <c r="GK56">
        <f>ROUND(R56*(R12)/100,2)</f>
        <v>1306.23</v>
      </c>
      <c r="GL56">
        <f t="shared" si="52"/>
        <v>0</v>
      </c>
      <c r="GM56">
        <f t="shared" si="53"/>
        <v>7617.77</v>
      </c>
      <c r="GN56">
        <f t="shared" si="54"/>
        <v>0</v>
      </c>
      <c r="GO56">
        <f t="shared" si="55"/>
        <v>0</v>
      </c>
      <c r="GP56">
        <f t="shared" si="56"/>
        <v>7617.77</v>
      </c>
      <c r="GR56">
        <v>0</v>
      </c>
      <c r="GS56">
        <v>3</v>
      </c>
      <c r="GT56">
        <v>0</v>
      </c>
      <c r="GU56" t="s">
        <v>3</v>
      </c>
      <c r="GV56">
        <f t="shared" si="57"/>
        <v>0</v>
      </c>
      <c r="GW56">
        <v>1</v>
      </c>
      <c r="GX56">
        <f t="shared" si="58"/>
        <v>0</v>
      </c>
      <c r="HA56">
        <v>0</v>
      </c>
      <c r="HB56">
        <v>0</v>
      </c>
      <c r="HC56">
        <f t="shared" si="59"/>
        <v>0</v>
      </c>
      <c r="HE56" t="s">
        <v>3</v>
      </c>
      <c r="HF56" t="s">
        <v>3</v>
      </c>
      <c r="HM56" t="s">
        <v>3</v>
      </c>
      <c r="HN56" t="s">
        <v>3</v>
      </c>
      <c r="HO56" t="s">
        <v>3</v>
      </c>
      <c r="HP56" t="s">
        <v>3</v>
      </c>
      <c r="HQ56" t="s">
        <v>3</v>
      </c>
      <c r="HS56">
        <v>0</v>
      </c>
      <c r="IK56">
        <v>0</v>
      </c>
    </row>
    <row r="57" spans="1:245" x14ac:dyDescent="0.2">
      <c r="A57">
        <v>18</v>
      </c>
      <c r="B57">
        <v>1</v>
      </c>
      <c r="C57">
        <v>47</v>
      </c>
      <c r="E57" t="s">
        <v>123</v>
      </c>
      <c r="F57" t="s">
        <v>24</v>
      </c>
      <c r="G57" t="s">
        <v>124</v>
      </c>
      <c r="H57" t="s">
        <v>3</v>
      </c>
      <c r="I57">
        <f>I56*J57</f>
        <v>14</v>
      </c>
      <c r="J57">
        <v>99.999999999999986</v>
      </c>
      <c r="K57">
        <v>100</v>
      </c>
      <c r="O57">
        <f t="shared" si="21"/>
        <v>19943</v>
      </c>
      <c r="P57">
        <f t="shared" si="22"/>
        <v>19943</v>
      </c>
      <c r="Q57">
        <f t="shared" si="23"/>
        <v>0</v>
      </c>
      <c r="R57">
        <f t="shared" si="24"/>
        <v>0</v>
      </c>
      <c r="S57">
        <f t="shared" si="25"/>
        <v>0</v>
      </c>
      <c r="T57">
        <f t="shared" si="26"/>
        <v>0</v>
      </c>
      <c r="U57">
        <f t="shared" si="27"/>
        <v>0</v>
      </c>
      <c r="V57">
        <f t="shared" si="28"/>
        <v>0</v>
      </c>
      <c r="W57">
        <f t="shared" si="29"/>
        <v>0</v>
      </c>
      <c r="X57">
        <f t="shared" si="30"/>
        <v>0</v>
      </c>
      <c r="Y57">
        <f t="shared" si="31"/>
        <v>0</v>
      </c>
      <c r="AA57">
        <v>81141517</v>
      </c>
      <c r="AB57">
        <f t="shared" si="32"/>
        <v>1424.5</v>
      </c>
      <c r="AC57">
        <f t="shared" si="33"/>
        <v>1424.5</v>
      </c>
      <c r="AD57">
        <f t="shared" si="34"/>
        <v>0</v>
      </c>
      <c r="AE57">
        <f t="shared" si="35"/>
        <v>0</v>
      </c>
      <c r="AF57">
        <f t="shared" si="36"/>
        <v>0</v>
      </c>
      <c r="AG57">
        <f t="shared" si="37"/>
        <v>0</v>
      </c>
      <c r="AH57">
        <f t="shared" si="38"/>
        <v>0</v>
      </c>
      <c r="AI57">
        <f t="shared" si="39"/>
        <v>0</v>
      </c>
      <c r="AJ57">
        <f t="shared" si="40"/>
        <v>0</v>
      </c>
      <c r="AK57">
        <v>1424.5</v>
      </c>
      <c r="AL57">
        <v>1424.5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70</v>
      </c>
      <c r="AU57">
        <v>10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1</v>
      </c>
      <c r="BD57" t="s">
        <v>3</v>
      </c>
      <c r="BE57" t="s">
        <v>3</v>
      </c>
      <c r="BF57" t="s">
        <v>3</v>
      </c>
      <c r="BG57" t="s">
        <v>3</v>
      </c>
      <c r="BH57">
        <v>3</v>
      </c>
      <c r="BI57">
        <v>4</v>
      </c>
      <c r="BJ57" t="s">
        <v>3</v>
      </c>
      <c r="BM57">
        <v>0</v>
      </c>
      <c r="BN57">
        <v>0</v>
      </c>
      <c r="BO57" t="s">
        <v>3</v>
      </c>
      <c r="BP57">
        <v>0</v>
      </c>
      <c r="BQ57">
        <v>1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70</v>
      </c>
      <c r="CA57">
        <v>10</v>
      </c>
      <c r="CB57" t="s">
        <v>3</v>
      </c>
      <c r="CE57">
        <v>0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41"/>
        <v>19943</v>
      </c>
      <c r="CQ57">
        <f t="shared" si="42"/>
        <v>1424.5</v>
      </c>
      <c r="CR57">
        <f t="shared" si="43"/>
        <v>0</v>
      </c>
      <c r="CS57">
        <f t="shared" si="44"/>
        <v>0</v>
      </c>
      <c r="CT57">
        <f t="shared" si="45"/>
        <v>0</v>
      </c>
      <c r="CU57">
        <f t="shared" si="46"/>
        <v>0</v>
      </c>
      <c r="CV57">
        <f t="shared" si="47"/>
        <v>0</v>
      </c>
      <c r="CW57">
        <f t="shared" si="48"/>
        <v>0</v>
      </c>
      <c r="CX57">
        <f t="shared" si="49"/>
        <v>0</v>
      </c>
      <c r="CY57">
        <f t="shared" si="50"/>
        <v>0</v>
      </c>
      <c r="CZ57">
        <f t="shared" si="51"/>
        <v>0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Z57" t="s">
        <v>3</v>
      </c>
      <c r="EA57" t="s">
        <v>3</v>
      </c>
      <c r="EB57" t="s">
        <v>3</v>
      </c>
      <c r="EC57" t="s">
        <v>3</v>
      </c>
      <c r="EE57">
        <v>80196140</v>
      </c>
      <c r="EF57">
        <v>1</v>
      </c>
      <c r="EG57" t="s">
        <v>20</v>
      </c>
      <c r="EH57">
        <v>0</v>
      </c>
      <c r="EI57" t="s">
        <v>3</v>
      </c>
      <c r="EJ57">
        <v>4</v>
      </c>
      <c r="EK57">
        <v>0</v>
      </c>
      <c r="EL57" t="s">
        <v>21</v>
      </c>
      <c r="EM57" t="s">
        <v>22</v>
      </c>
      <c r="EO57" t="s">
        <v>3</v>
      </c>
      <c r="EQ57">
        <v>0</v>
      </c>
      <c r="ER57">
        <v>1424.5</v>
      </c>
      <c r="ES57">
        <v>1424.5</v>
      </c>
      <c r="ET57">
        <v>0</v>
      </c>
      <c r="EU57">
        <v>0</v>
      </c>
      <c r="EV57">
        <v>0</v>
      </c>
      <c r="EW57">
        <v>0</v>
      </c>
      <c r="EX57">
        <v>0</v>
      </c>
      <c r="EZ57">
        <v>5</v>
      </c>
      <c r="FC57">
        <v>1</v>
      </c>
      <c r="FD57">
        <v>18</v>
      </c>
      <c r="FF57">
        <v>1709.4</v>
      </c>
      <c r="FQ57">
        <v>0</v>
      </c>
      <c r="FR57">
        <v>0</v>
      </c>
      <c r="FS57">
        <v>0</v>
      </c>
      <c r="FX57">
        <v>70</v>
      </c>
      <c r="FY57">
        <v>10</v>
      </c>
      <c r="GA57" t="s">
        <v>125</v>
      </c>
      <c r="GD57">
        <v>0</v>
      </c>
      <c r="GF57">
        <v>-630770242</v>
      </c>
      <c r="GG57">
        <v>2</v>
      </c>
      <c r="GH57">
        <v>3</v>
      </c>
      <c r="GI57">
        <v>-2</v>
      </c>
      <c r="GJ57">
        <v>0</v>
      </c>
      <c r="GK57">
        <f>ROUND(R57*(R12)/100,2)</f>
        <v>0</v>
      </c>
      <c r="GL57">
        <f t="shared" si="52"/>
        <v>0</v>
      </c>
      <c r="GM57">
        <f t="shared" si="53"/>
        <v>19943</v>
      </c>
      <c r="GN57">
        <f t="shared" si="54"/>
        <v>0</v>
      </c>
      <c r="GO57">
        <f t="shared" si="55"/>
        <v>0</v>
      </c>
      <c r="GP57">
        <f t="shared" si="56"/>
        <v>19943</v>
      </c>
      <c r="GR57">
        <v>1</v>
      </c>
      <c r="GS57">
        <v>1</v>
      </c>
      <c r="GT57">
        <v>0</v>
      </c>
      <c r="GU57" t="s">
        <v>3</v>
      </c>
      <c r="GV57">
        <f t="shared" si="57"/>
        <v>0</v>
      </c>
      <c r="GW57">
        <v>1</v>
      </c>
      <c r="GX57">
        <f t="shared" si="58"/>
        <v>0</v>
      </c>
      <c r="HA57">
        <v>0</v>
      </c>
      <c r="HB57">
        <v>0</v>
      </c>
      <c r="HC57">
        <f t="shared" si="59"/>
        <v>0</v>
      </c>
      <c r="HE57" t="s">
        <v>27</v>
      </c>
      <c r="HF57" t="s">
        <v>27</v>
      </c>
      <c r="HM57" t="s">
        <v>3</v>
      </c>
      <c r="HN57" t="s">
        <v>3</v>
      </c>
      <c r="HO57" t="s">
        <v>3</v>
      </c>
      <c r="HP57" t="s">
        <v>3</v>
      </c>
      <c r="HQ57" t="s">
        <v>3</v>
      </c>
      <c r="HS57">
        <v>0</v>
      </c>
      <c r="IK57">
        <v>0</v>
      </c>
    </row>
    <row r="58" spans="1:245" x14ac:dyDescent="0.2">
      <c r="A58">
        <v>17</v>
      </c>
      <c r="B58">
        <v>1</v>
      </c>
      <c r="C58">
        <f>ROW(SmtRes!A49)</f>
        <v>49</v>
      </c>
      <c r="D58">
        <f>ROW(EtalonRes!A29)</f>
        <v>29</v>
      </c>
      <c r="E58" t="s">
        <v>126</v>
      </c>
      <c r="F58" t="s">
        <v>105</v>
      </c>
      <c r="G58" t="s">
        <v>127</v>
      </c>
      <c r="H58" t="s">
        <v>18</v>
      </c>
      <c r="I58">
        <v>80</v>
      </c>
      <c r="J58">
        <v>0</v>
      </c>
      <c r="K58">
        <v>80</v>
      </c>
      <c r="O58">
        <f t="shared" si="21"/>
        <v>47846.400000000001</v>
      </c>
      <c r="P58">
        <f t="shared" si="22"/>
        <v>0</v>
      </c>
      <c r="Q58">
        <f t="shared" si="23"/>
        <v>0</v>
      </c>
      <c r="R58">
        <f t="shared" si="24"/>
        <v>0</v>
      </c>
      <c r="S58">
        <f t="shared" si="25"/>
        <v>47846.400000000001</v>
      </c>
      <c r="T58">
        <f t="shared" si="26"/>
        <v>0</v>
      </c>
      <c r="U58">
        <f t="shared" si="27"/>
        <v>94.399999999999991</v>
      </c>
      <c r="V58">
        <f t="shared" si="28"/>
        <v>0</v>
      </c>
      <c r="W58">
        <f t="shared" si="29"/>
        <v>0</v>
      </c>
      <c r="X58">
        <f t="shared" si="30"/>
        <v>33492.480000000003</v>
      </c>
      <c r="Y58">
        <f t="shared" si="31"/>
        <v>4784.6400000000003</v>
      </c>
      <c r="AA58">
        <v>81141517</v>
      </c>
      <c r="AB58">
        <f t="shared" si="32"/>
        <v>598.08000000000004</v>
      </c>
      <c r="AC58">
        <f t="shared" si="33"/>
        <v>0</v>
      </c>
      <c r="AD58">
        <f t="shared" si="34"/>
        <v>0</v>
      </c>
      <c r="AE58">
        <f t="shared" si="35"/>
        <v>0</v>
      </c>
      <c r="AF58">
        <f t="shared" si="36"/>
        <v>598.08000000000004</v>
      </c>
      <c r="AG58">
        <f t="shared" si="37"/>
        <v>0</v>
      </c>
      <c r="AH58">
        <f t="shared" si="38"/>
        <v>1.18</v>
      </c>
      <c r="AI58">
        <f t="shared" si="39"/>
        <v>0</v>
      </c>
      <c r="AJ58">
        <f t="shared" si="40"/>
        <v>0</v>
      </c>
      <c r="AK58">
        <v>598.08000000000004</v>
      </c>
      <c r="AL58">
        <v>0</v>
      </c>
      <c r="AM58">
        <v>0</v>
      </c>
      <c r="AN58">
        <v>0</v>
      </c>
      <c r="AO58">
        <v>598.08000000000004</v>
      </c>
      <c r="AP58">
        <v>0</v>
      </c>
      <c r="AQ58">
        <v>1.18</v>
      </c>
      <c r="AR58">
        <v>0</v>
      </c>
      <c r="AS58">
        <v>0</v>
      </c>
      <c r="AT58">
        <v>70</v>
      </c>
      <c r="AU58">
        <v>10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1</v>
      </c>
      <c r="BD58" t="s">
        <v>3</v>
      </c>
      <c r="BE58" t="s">
        <v>3</v>
      </c>
      <c r="BF58" t="s">
        <v>3</v>
      </c>
      <c r="BG58" t="s">
        <v>3</v>
      </c>
      <c r="BH58">
        <v>0</v>
      </c>
      <c r="BI58">
        <v>4</v>
      </c>
      <c r="BJ58" t="s">
        <v>107</v>
      </c>
      <c r="BM58">
        <v>0</v>
      </c>
      <c r="BN58">
        <v>0</v>
      </c>
      <c r="BO58" t="s">
        <v>3</v>
      </c>
      <c r="BP58">
        <v>0</v>
      </c>
      <c r="BQ58">
        <v>1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70</v>
      </c>
      <c r="CA58">
        <v>10</v>
      </c>
      <c r="CB58" t="s">
        <v>3</v>
      </c>
      <c r="CE58">
        <v>0</v>
      </c>
      <c r="CF58">
        <v>0</v>
      </c>
      <c r="CG58">
        <v>0</v>
      </c>
      <c r="CM58">
        <v>0</v>
      </c>
      <c r="CN58" t="s">
        <v>3</v>
      </c>
      <c r="CO58">
        <v>0</v>
      </c>
      <c r="CP58">
        <f t="shared" si="41"/>
        <v>47846.400000000001</v>
      </c>
      <c r="CQ58">
        <f t="shared" si="42"/>
        <v>0</v>
      </c>
      <c r="CR58">
        <f t="shared" si="43"/>
        <v>0</v>
      </c>
      <c r="CS58">
        <f t="shared" si="44"/>
        <v>0</v>
      </c>
      <c r="CT58">
        <f t="shared" si="45"/>
        <v>598.08000000000004</v>
      </c>
      <c r="CU58">
        <f t="shared" si="46"/>
        <v>0</v>
      </c>
      <c r="CV58">
        <f t="shared" si="47"/>
        <v>1.18</v>
      </c>
      <c r="CW58">
        <f t="shared" si="48"/>
        <v>0</v>
      </c>
      <c r="CX58">
        <f t="shared" si="49"/>
        <v>0</v>
      </c>
      <c r="CY58">
        <f t="shared" si="50"/>
        <v>33492.480000000003</v>
      </c>
      <c r="CZ58">
        <f t="shared" si="51"/>
        <v>4784.6400000000003</v>
      </c>
      <c r="DC58" t="s">
        <v>3</v>
      </c>
      <c r="DD58" t="s">
        <v>3</v>
      </c>
      <c r="DE58" t="s">
        <v>3</v>
      </c>
      <c r="DF58" t="s">
        <v>3</v>
      </c>
      <c r="DG58" t="s">
        <v>3</v>
      </c>
      <c r="DH58" t="s">
        <v>3</v>
      </c>
      <c r="DI58" t="s">
        <v>3</v>
      </c>
      <c r="DJ58" t="s">
        <v>3</v>
      </c>
      <c r="DK58" t="s">
        <v>3</v>
      </c>
      <c r="DL58" t="s">
        <v>3</v>
      </c>
      <c r="DM58" t="s">
        <v>3</v>
      </c>
      <c r="DN58">
        <v>0</v>
      </c>
      <c r="DO58">
        <v>0</v>
      </c>
      <c r="DP58">
        <v>1</v>
      </c>
      <c r="DQ58">
        <v>1</v>
      </c>
      <c r="DU58">
        <v>1010</v>
      </c>
      <c r="DV58" t="s">
        <v>18</v>
      </c>
      <c r="DW58" t="s">
        <v>18</v>
      </c>
      <c r="DX58">
        <v>1</v>
      </c>
      <c r="DZ58" t="s">
        <v>3</v>
      </c>
      <c r="EA58" t="s">
        <v>3</v>
      </c>
      <c r="EB58" t="s">
        <v>3</v>
      </c>
      <c r="EC58" t="s">
        <v>3</v>
      </c>
      <c r="EE58">
        <v>80196140</v>
      </c>
      <c r="EF58">
        <v>1</v>
      </c>
      <c r="EG58" t="s">
        <v>20</v>
      </c>
      <c r="EH58">
        <v>0</v>
      </c>
      <c r="EI58" t="s">
        <v>3</v>
      </c>
      <c r="EJ58">
        <v>4</v>
      </c>
      <c r="EK58">
        <v>0</v>
      </c>
      <c r="EL58" t="s">
        <v>21</v>
      </c>
      <c r="EM58" t="s">
        <v>22</v>
      </c>
      <c r="EO58" t="s">
        <v>3</v>
      </c>
      <c r="EQ58">
        <v>0</v>
      </c>
      <c r="ER58">
        <v>598.08000000000004</v>
      </c>
      <c r="ES58">
        <v>0</v>
      </c>
      <c r="ET58">
        <v>0</v>
      </c>
      <c r="EU58">
        <v>0</v>
      </c>
      <c r="EV58">
        <v>598.08000000000004</v>
      </c>
      <c r="EW58">
        <v>1.18</v>
      </c>
      <c r="EX58">
        <v>0</v>
      </c>
      <c r="EY58">
        <v>0</v>
      </c>
      <c r="FQ58">
        <v>0</v>
      </c>
      <c r="FR58">
        <v>0</v>
      </c>
      <c r="FS58">
        <v>0</v>
      </c>
      <c r="FX58">
        <v>70</v>
      </c>
      <c r="FY58">
        <v>10</v>
      </c>
      <c r="GA58" t="s">
        <v>3</v>
      </c>
      <c r="GD58">
        <v>0</v>
      </c>
      <c r="GF58">
        <v>-1543602996</v>
      </c>
      <c r="GG58">
        <v>2</v>
      </c>
      <c r="GH58">
        <v>1</v>
      </c>
      <c r="GI58">
        <v>-2</v>
      </c>
      <c r="GJ58">
        <v>0</v>
      </c>
      <c r="GK58">
        <f>ROUND(R58*(R12)/100,2)</f>
        <v>0</v>
      </c>
      <c r="GL58">
        <f t="shared" si="52"/>
        <v>0</v>
      </c>
      <c r="GM58">
        <f t="shared" si="53"/>
        <v>86123.520000000004</v>
      </c>
      <c r="GN58">
        <f t="shared" si="54"/>
        <v>0</v>
      </c>
      <c r="GO58">
        <f t="shared" si="55"/>
        <v>0</v>
      </c>
      <c r="GP58">
        <f t="shared" si="56"/>
        <v>86123.520000000004</v>
      </c>
      <c r="GR58">
        <v>0</v>
      </c>
      <c r="GS58">
        <v>3</v>
      </c>
      <c r="GT58">
        <v>0</v>
      </c>
      <c r="GU58" t="s">
        <v>3</v>
      </c>
      <c r="GV58">
        <f t="shared" si="57"/>
        <v>0</v>
      </c>
      <c r="GW58">
        <v>1</v>
      </c>
      <c r="GX58">
        <f t="shared" si="58"/>
        <v>0</v>
      </c>
      <c r="HA58">
        <v>0</v>
      </c>
      <c r="HB58">
        <v>0</v>
      </c>
      <c r="HC58">
        <f t="shared" si="59"/>
        <v>0</v>
      </c>
      <c r="HE58" t="s">
        <v>3</v>
      </c>
      <c r="HF58" t="s">
        <v>3</v>
      </c>
      <c r="HM58" t="s">
        <v>3</v>
      </c>
      <c r="HN58" t="s">
        <v>3</v>
      </c>
      <c r="HO58" t="s">
        <v>3</v>
      </c>
      <c r="HP58" t="s">
        <v>3</v>
      </c>
      <c r="HQ58" t="s">
        <v>3</v>
      </c>
      <c r="HS58">
        <v>0</v>
      </c>
      <c r="IK58">
        <v>0</v>
      </c>
    </row>
    <row r="59" spans="1:245" x14ac:dyDescent="0.2">
      <c r="A59">
        <v>18</v>
      </c>
      <c r="B59">
        <v>1</v>
      </c>
      <c r="C59">
        <v>49</v>
      </c>
      <c r="E59" t="s">
        <v>128</v>
      </c>
      <c r="F59" t="s">
        <v>24</v>
      </c>
      <c r="G59" t="s">
        <v>129</v>
      </c>
      <c r="H59" t="s">
        <v>18</v>
      </c>
      <c r="I59">
        <f>I58*J59</f>
        <v>80</v>
      </c>
      <c r="J59">
        <v>1</v>
      </c>
      <c r="K59">
        <v>1</v>
      </c>
      <c r="O59">
        <f t="shared" si="21"/>
        <v>1086444</v>
      </c>
      <c r="P59">
        <f t="shared" si="22"/>
        <v>1086444</v>
      </c>
      <c r="Q59">
        <f t="shared" si="23"/>
        <v>0</v>
      </c>
      <c r="R59">
        <f t="shared" si="24"/>
        <v>0</v>
      </c>
      <c r="S59">
        <f t="shared" si="25"/>
        <v>0</v>
      </c>
      <c r="T59">
        <f t="shared" si="26"/>
        <v>0</v>
      </c>
      <c r="U59">
        <f t="shared" si="27"/>
        <v>0</v>
      </c>
      <c r="V59">
        <f t="shared" si="28"/>
        <v>0</v>
      </c>
      <c r="W59">
        <f t="shared" si="29"/>
        <v>0</v>
      </c>
      <c r="X59">
        <f t="shared" si="30"/>
        <v>0</v>
      </c>
      <c r="Y59">
        <f t="shared" si="31"/>
        <v>0</v>
      </c>
      <c r="AA59">
        <v>81141517</v>
      </c>
      <c r="AB59">
        <f t="shared" si="32"/>
        <v>13580.55</v>
      </c>
      <c r="AC59">
        <f t="shared" si="33"/>
        <v>13580.55</v>
      </c>
      <c r="AD59">
        <f t="shared" si="34"/>
        <v>0</v>
      </c>
      <c r="AE59">
        <f t="shared" si="35"/>
        <v>0</v>
      </c>
      <c r="AF59">
        <f t="shared" si="36"/>
        <v>0</v>
      </c>
      <c r="AG59">
        <f t="shared" si="37"/>
        <v>0</v>
      </c>
      <c r="AH59">
        <f t="shared" si="38"/>
        <v>0</v>
      </c>
      <c r="AI59">
        <f t="shared" si="39"/>
        <v>0</v>
      </c>
      <c r="AJ59">
        <f t="shared" si="40"/>
        <v>0</v>
      </c>
      <c r="AK59">
        <v>13580.55</v>
      </c>
      <c r="AL59">
        <v>13580.55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70</v>
      </c>
      <c r="AU59">
        <v>10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1</v>
      </c>
      <c r="BD59" t="s">
        <v>3</v>
      </c>
      <c r="BE59" t="s">
        <v>3</v>
      </c>
      <c r="BF59" t="s">
        <v>3</v>
      </c>
      <c r="BG59" t="s">
        <v>3</v>
      </c>
      <c r="BH59">
        <v>3</v>
      </c>
      <c r="BI59">
        <v>4</v>
      </c>
      <c r="BJ59" t="s">
        <v>3</v>
      </c>
      <c r="BM59">
        <v>0</v>
      </c>
      <c r="BN59">
        <v>0</v>
      </c>
      <c r="BO59" t="s">
        <v>3</v>
      </c>
      <c r="BP59">
        <v>0</v>
      </c>
      <c r="BQ59">
        <v>1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70</v>
      </c>
      <c r="CA59">
        <v>10</v>
      </c>
      <c r="CB59" t="s">
        <v>3</v>
      </c>
      <c r="CE59">
        <v>0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41"/>
        <v>1086444</v>
      </c>
      <c r="CQ59">
        <f t="shared" si="42"/>
        <v>13580.55</v>
      </c>
      <c r="CR59">
        <f t="shared" si="43"/>
        <v>0</v>
      </c>
      <c r="CS59">
        <f t="shared" si="44"/>
        <v>0</v>
      </c>
      <c r="CT59">
        <f t="shared" si="45"/>
        <v>0</v>
      </c>
      <c r="CU59">
        <f t="shared" si="46"/>
        <v>0</v>
      </c>
      <c r="CV59">
        <f t="shared" si="47"/>
        <v>0</v>
      </c>
      <c r="CW59">
        <f t="shared" si="48"/>
        <v>0</v>
      </c>
      <c r="CX59">
        <f t="shared" si="49"/>
        <v>0</v>
      </c>
      <c r="CY59">
        <f t="shared" si="50"/>
        <v>0</v>
      </c>
      <c r="CZ59">
        <f t="shared" si="51"/>
        <v>0</v>
      </c>
      <c r="DC59" t="s">
        <v>3</v>
      </c>
      <c r="DD59" t="s">
        <v>3</v>
      </c>
      <c r="DE59" t="s">
        <v>3</v>
      </c>
      <c r="DF59" t="s">
        <v>3</v>
      </c>
      <c r="DG59" t="s">
        <v>3</v>
      </c>
      <c r="DH59" t="s">
        <v>3</v>
      </c>
      <c r="DI59" t="s">
        <v>3</v>
      </c>
      <c r="DJ59" t="s">
        <v>3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1010</v>
      </c>
      <c r="DV59" t="s">
        <v>18</v>
      </c>
      <c r="DW59" t="s">
        <v>18</v>
      </c>
      <c r="DX59">
        <v>1</v>
      </c>
      <c r="DZ59" t="s">
        <v>3</v>
      </c>
      <c r="EA59" t="s">
        <v>3</v>
      </c>
      <c r="EB59" t="s">
        <v>3</v>
      </c>
      <c r="EC59" t="s">
        <v>3</v>
      </c>
      <c r="EE59">
        <v>80196140</v>
      </c>
      <c r="EF59">
        <v>1</v>
      </c>
      <c r="EG59" t="s">
        <v>20</v>
      </c>
      <c r="EH59">
        <v>0</v>
      </c>
      <c r="EI59" t="s">
        <v>3</v>
      </c>
      <c r="EJ59">
        <v>4</v>
      </c>
      <c r="EK59">
        <v>0</v>
      </c>
      <c r="EL59" t="s">
        <v>21</v>
      </c>
      <c r="EM59" t="s">
        <v>22</v>
      </c>
      <c r="EO59" t="s">
        <v>3</v>
      </c>
      <c r="EQ59">
        <v>0</v>
      </c>
      <c r="ER59">
        <v>13580.55</v>
      </c>
      <c r="ES59">
        <v>13580.55</v>
      </c>
      <c r="ET59">
        <v>0</v>
      </c>
      <c r="EU59">
        <v>0</v>
      </c>
      <c r="EV59">
        <v>0</v>
      </c>
      <c r="EW59">
        <v>0</v>
      </c>
      <c r="EX59">
        <v>0</v>
      </c>
      <c r="EZ59">
        <v>5</v>
      </c>
      <c r="FC59">
        <v>1</v>
      </c>
      <c r="FD59">
        <v>18</v>
      </c>
      <c r="FF59">
        <v>16296.66</v>
      </c>
      <c r="FQ59">
        <v>0</v>
      </c>
      <c r="FR59">
        <v>0</v>
      </c>
      <c r="FS59">
        <v>0</v>
      </c>
      <c r="FX59">
        <v>70</v>
      </c>
      <c r="FY59">
        <v>10</v>
      </c>
      <c r="GA59" t="s">
        <v>130</v>
      </c>
      <c r="GD59">
        <v>0</v>
      </c>
      <c r="GF59">
        <v>-1367185952</v>
      </c>
      <c r="GG59">
        <v>2</v>
      </c>
      <c r="GH59">
        <v>3</v>
      </c>
      <c r="GI59">
        <v>-2</v>
      </c>
      <c r="GJ59">
        <v>0</v>
      </c>
      <c r="GK59">
        <f>ROUND(R59*(R12)/100,2)</f>
        <v>0</v>
      </c>
      <c r="GL59">
        <f t="shared" si="52"/>
        <v>0</v>
      </c>
      <c r="GM59">
        <f t="shared" si="53"/>
        <v>1086444</v>
      </c>
      <c r="GN59">
        <f t="shared" si="54"/>
        <v>0</v>
      </c>
      <c r="GO59">
        <f t="shared" si="55"/>
        <v>0</v>
      </c>
      <c r="GP59">
        <f t="shared" si="56"/>
        <v>1086444</v>
      </c>
      <c r="GR59">
        <v>1</v>
      </c>
      <c r="GS59">
        <v>1</v>
      </c>
      <c r="GT59">
        <v>0</v>
      </c>
      <c r="GU59" t="s">
        <v>3</v>
      </c>
      <c r="GV59">
        <f t="shared" si="57"/>
        <v>0</v>
      </c>
      <c r="GW59">
        <v>1</v>
      </c>
      <c r="GX59">
        <f t="shared" si="58"/>
        <v>0</v>
      </c>
      <c r="HA59">
        <v>0</v>
      </c>
      <c r="HB59">
        <v>0</v>
      </c>
      <c r="HC59">
        <f t="shared" si="59"/>
        <v>0</v>
      </c>
      <c r="HE59" t="s">
        <v>27</v>
      </c>
      <c r="HF59" t="s">
        <v>27</v>
      </c>
      <c r="HM59" t="s">
        <v>3</v>
      </c>
      <c r="HN59" t="s">
        <v>3</v>
      </c>
      <c r="HO59" t="s">
        <v>3</v>
      </c>
      <c r="HP59" t="s">
        <v>3</v>
      </c>
      <c r="HQ59" t="s">
        <v>3</v>
      </c>
      <c r="HS59">
        <v>0</v>
      </c>
      <c r="IK59">
        <v>0</v>
      </c>
    </row>
    <row r="60" spans="1:245" x14ac:dyDescent="0.2">
      <c r="A60">
        <v>17</v>
      </c>
      <c r="B60">
        <v>1</v>
      </c>
      <c r="C60">
        <f>ROW(SmtRes!A58)</f>
        <v>58</v>
      </c>
      <c r="D60">
        <f>ROW(EtalonRes!A32)</f>
        <v>32</v>
      </c>
      <c r="E60" t="s">
        <v>131</v>
      </c>
      <c r="F60" t="s">
        <v>132</v>
      </c>
      <c r="G60" t="s">
        <v>133</v>
      </c>
      <c r="H60" t="s">
        <v>86</v>
      </c>
      <c r="I60">
        <f>ROUND(16/100,9)</f>
        <v>0.16</v>
      </c>
      <c r="J60">
        <v>0</v>
      </c>
      <c r="K60">
        <f>ROUND(16/100,9)</f>
        <v>0.16</v>
      </c>
      <c r="O60">
        <f t="shared" ref="O60:O84" si="60">ROUND(CP60,2)</f>
        <v>93482.11</v>
      </c>
      <c r="P60">
        <f t="shared" ref="P60:P84" si="61">ROUND(CQ60*I60,2)</f>
        <v>0</v>
      </c>
      <c r="Q60">
        <f t="shared" ref="Q60:Q84" si="62">ROUND(CR60*I60,2)</f>
        <v>54869.05</v>
      </c>
      <c r="R60">
        <f t="shared" ref="R60:R84" si="63">ROUND(CS60*I60,2)</f>
        <v>27212.11</v>
      </c>
      <c r="S60">
        <f t="shared" ref="S60:S84" si="64">ROUND(CT60*I60,2)</f>
        <v>38613.06</v>
      </c>
      <c r="T60">
        <f t="shared" ref="T60:T84" si="65">ROUND(CU60*I60,2)</f>
        <v>0</v>
      </c>
      <c r="U60">
        <f t="shared" ref="U60:U84" si="66">CV60*I60</f>
        <v>60.72</v>
      </c>
      <c r="V60">
        <f t="shared" ref="V60:V84" si="67">CW60*I60</f>
        <v>0</v>
      </c>
      <c r="W60">
        <f t="shared" ref="W60:W84" si="68">ROUND(CX60*I60,2)</f>
        <v>0</v>
      </c>
      <c r="X60">
        <f t="shared" ref="X60:X84" si="69">ROUND(CY60,2)</f>
        <v>27029.14</v>
      </c>
      <c r="Y60">
        <f t="shared" ref="Y60:Y84" si="70">ROUND(CZ60,2)</f>
        <v>3861.31</v>
      </c>
      <c r="AA60">
        <v>81141517</v>
      </c>
      <c r="AB60">
        <f t="shared" ref="AB60:AB84" si="71">ROUND((AC60+AD60+AF60),6)</f>
        <v>584263.18999999994</v>
      </c>
      <c r="AC60">
        <f t="shared" ref="AC60:AC84" si="72">ROUND((ES60),6)</f>
        <v>0</v>
      </c>
      <c r="AD60">
        <f t="shared" ref="AD60:AD84" si="73">ROUND((((ET60)-(EU60))+AE60),6)</f>
        <v>342931.56</v>
      </c>
      <c r="AE60">
        <f t="shared" ref="AE60:AE84" si="74">ROUND((EU60),6)</f>
        <v>170075.68</v>
      </c>
      <c r="AF60">
        <f t="shared" ref="AF60:AF84" si="75">ROUND((EV60),6)</f>
        <v>241331.63</v>
      </c>
      <c r="AG60">
        <f t="shared" ref="AG60:AG84" si="76">ROUND((AP60),6)</f>
        <v>0</v>
      </c>
      <c r="AH60">
        <f t="shared" ref="AH60:AH84" si="77">(EW60)</f>
        <v>379.5</v>
      </c>
      <c r="AI60">
        <f t="shared" ref="AI60:AI84" si="78">(EX60)</f>
        <v>0</v>
      </c>
      <c r="AJ60">
        <f t="shared" ref="AJ60:AJ84" si="79">(AS60)</f>
        <v>0</v>
      </c>
      <c r="AK60">
        <v>584263.18999999994</v>
      </c>
      <c r="AL60">
        <v>0</v>
      </c>
      <c r="AM60">
        <v>342931.56</v>
      </c>
      <c r="AN60">
        <v>170075.68</v>
      </c>
      <c r="AO60">
        <v>241331.63</v>
      </c>
      <c r="AP60">
        <v>0</v>
      </c>
      <c r="AQ60">
        <v>379.5</v>
      </c>
      <c r="AR60">
        <v>0</v>
      </c>
      <c r="AS60">
        <v>0</v>
      </c>
      <c r="AT60">
        <v>70</v>
      </c>
      <c r="AU60">
        <v>10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1</v>
      </c>
      <c r="BD60" t="s">
        <v>3</v>
      </c>
      <c r="BE60" t="s">
        <v>3</v>
      </c>
      <c r="BF60" t="s">
        <v>3</v>
      </c>
      <c r="BG60" t="s">
        <v>3</v>
      </c>
      <c r="BH60">
        <v>0</v>
      </c>
      <c r="BI60">
        <v>4</v>
      </c>
      <c r="BJ60" t="s">
        <v>134</v>
      </c>
      <c r="BM60">
        <v>0</v>
      </c>
      <c r="BN60">
        <v>0</v>
      </c>
      <c r="BO60" t="s">
        <v>3</v>
      </c>
      <c r="BP60">
        <v>0</v>
      </c>
      <c r="BQ60">
        <v>1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70</v>
      </c>
      <c r="CA60">
        <v>10</v>
      </c>
      <c r="CB60" t="s">
        <v>3</v>
      </c>
      <c r="CE60">
        <v>0</v>
      </c>
      <c r="CF60">
        <v>0</v>
      </c>
      <c r="CG60">
        <v>0</v>
      </c>
      <c r="CM60">
        <v>0</v>
      </c>
      <c r="CN60" t="s">
        <v>3</v>
      </c>
      <c r="CO60">
        <v>0</v>
      </c>
      <c r="CP60">
        <f t="shared" ref="CP60:CP84" si="80">(P60+Q60+S60)</f>
        <v>93482.11</v>
      </c>
      <c r="CQ60">
        <f t="shared" ref="CQ60:CQ84" si="81">(AC60*BC60*AW60)</f>
        <v>0</v>
      </c>
      <c r="CR60">
        <f t="shared" ref="CR60:CR84" si="82">((((ET60)*BB60-(EU60)*BS60)+AE60*BS60)*AV60)</f>
        <v>342931.56</v>
      </c>
      <c r="CS60">
        <f t="shared" ref="CS60:CS84" si="83">(AE60*BS60*AV60)</f>
        <v>170075.68</v>
      </c>
      <c r="CT60">
        <f t="shared" ref="CT60:CT84" si="84">(AF60*BA60*AV60)</f>
        <v>241331.63</v>
      </c>
      <c r="CU60">
        <f t="shared" ref="CU60:CU84" si="85">AG60</f>
        <v>0</v>
      </c>
      <c r="CV60">
        <f t="shared" ref="CV60:CV84" si="86">(AH60*AV60)</f>
        <v>379.5</v>
      </c>
      <c r="CW60">
        <f t="shared" ref="CW60:CW84" si="87">AI60</f>
        <v>0</v>
      </c>
      <c r="CX60">
        <f t="shared" ref="CX60:CX84" si="88">AJ60</f>
        <v>0</v>
      </c>
      <c r="CY60">
        <f t="shared" ref="CY60:CY84" si="89">((S60*BZ60)/100)</f>
        <v>27029.141999999996</v>
      </c>
      <c r="CZ60">
        <f t="shared" ref="CZ60:CZ84" si="90">((S60*CA60)/100)</f>
        <v>3861.3059999999996</v>
      </c>
      <c r="DC60" t="s">
        <v>3</v>
      </c>
      <c r="DD60" t="s">
        <v>3</v>
      </c>
      <c r="DE60" t="s">
        <v>3</v>
      </c>
      <c r="DF60" t="s">
        <v>3</v>
      </c>
      <c r="DG60" t="s">
        <v>3</v>
      </c>
      <c r="DH60" t="s">
        <v>3</v>
      </c>
      <c r="DI60" t="s">
        <v>3</v>
      </c>
      <c r="DJ60" t="s">
        <v>3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1010</v>
      </c>
      <c r="DV60" t="s">
        <v>86</v>
      </c>
      <c r="DW60" t="s">
        <v>86</v>
      </c>
      <c r="DX60">
        <v>100</v>
      </c>
      <c r="DZ60" t="s">
        <v>3</v>
      </c>
      <c r="EA60" t="s">
        <v>3</v>
      </c>
      <c r="EB60" t="s">
        <v>3</v>
      </c>
      <c r="EC60" t="s">
        <v>3</v>
      </c>
      <c r="EE60">
        <v>80196140</v>
      </c>
      <c r="EF60">
        <v>1</v>
      </c>
      <c r="EG60" t="s">
        <v>20</v>
      </c>
      <c r="EH60">
        <v>0</v>
      </c>
      <c r="EI60" t="s">
        <v>3</v>
      </c>
      <c r="EJ60">
        <v>4</v>
      </c>
      <c r="EK60">
        <v>0</v>
      </c>
      <c r="EL60" t="s">
        <v>21</v>
      </c>
      <c r="EM60" t="s">
        <v>22</v>
      </c>
      <c r="EO60" t="s">
        <v>3</v>
      </c>
      <c r="EQ60">
        <v>0</v>
      </c>
      <c r="ER60">
        <v>584263.18999999994</v>
      </c>
      <c r="ES60">
        <v>0</v>
      </c>
      <c r="ET60">
        <v>342931.56</v>
      </c>
      <c r="EU60">
        <v>170075.68</v>
      </c>
      <c r="EV60">
        <v>241331.63</v>
      </c>
      <c r="EW60">
        <v>379.5</v>
      </c>
      <c r="EX60">
        <v>0</v>
      </c>
      <c r="EY60">
        <v>0</v>
      </c>
      <c r="FQ60">
        <v>0</v>
      </c>
      <c r="FR60">
        <v>0</v>
      </c>
      <c r="FS60">
        <v>0</v>
      </c>
      <c r="FX60">
        <v>70</v>
      </c>
      <c r="FY60">
        <v>10</v>
      </c>
      <c r="GA60" t="s">
        <v>3</v>
      </c>
      <c r="GD60">
        <v>0</v>
      </c>
      <c r="GF60">
        <v>-947927390</v>
      </c>
      <c r="GG60">
        <v>2</v>
      </c>
      <c r="GH60">
        <v>1</v>
      </c>
      <c r="GI60">
        <v>-2</v>
      </c>
      <c r="GJ60">
        <v>0</v>
      </c>
      <c r="GK60">
        <f>ROUND(R60*(R12)/100,2)</f>
        <v>29389.08</v>
      </c>
      <c r="GL60">
        <f t="shared" ref="GL60:GL84" si="91">ROUND(IF(AND(BH60=3,BI60=3,FS60&lt;&gt;0),P60,0),2)</f>
        <v>0</v>
      </c>
      <c r="GM60">
        <f t="shared" ref="GM60:GM84" si="92">ROUND(O60+X60+Y60+GK60,2)+GX60</f>
        <v>153761.64000000001</v>
      </c>
      <c r="GN60">
        <f t="shared" ref="GN60:GN84" si="93">IF(OR(BI60=0,BI60=1),GM60-GX60,0)</f>
        <v>0</v>
      </c>
      <c r="GO60">
        <f t="shared" ref="GO60:GO84" si="94">IF(BI60=2,GM60-GX60,0)</f>
        <v>0</v>
      </c>
      <c r="GP60">
        <f t="shared" ref="GP60:GP84" si="95">IF(BI60=4,GM60-GX60,0)</f>
        <v>153761.64000000001</v>
      </c>
      <c r="GR60">
        <v>0</v>
      </c>
      <c r="GS60">
        <v>3</v>
      </c>
      <c r="GT60">
        <v>0</v>
      </c>
      <c r="GU60" t="s">
        <v>3</v>
      </c>
      <c r="GV60">
        <f t="shared" ref="GV60:GV84" si="96">ROUND((GT60),6)</f>
        <v>0</v>
      </c>
      <c r="GW60">
        <v>1</v>
      </c>
      <c r="GX60">
        <f t="shared" ref="GX60:GX84" si="97">ROUND(HC60*I60,2)</f>
        <v>0</v>
      </c>
      <c r="HA60">
        <v>0</v>
      </c>
      <c r="HB60">
        <v>0</v>
      </c>
      <c r="HC60">
        <f t="shared" ref="HC60:HC84" si="98">GV60*GW60</f>
        <v>0</v>
      </c>
      <c r="HE60" t="s">
        <v>3</v>
      </c>
      <c r="HF60" t="s">
        <v>3</v>
      </c>
      <c r="HM60" t="s">
        <v>3</v>
      </c>
      <c r="HN60" t="s">
        <v>3</v>
      </c>
      <c r="HO60" t="s">
        <v>3</v>
      </c>
      <c r="HP60" t="s">
        <v>3</v>
      </c>
      <c r="HQ60" t="s">
        <v>3</v>
      </c>
      <c r="HS60">
        <v>0</v>
      </c>
      <c r="IK60">
        <v>0</v>
      </c>
    </row>
    <row r="61" spans="1:245" x14ac:dyDescent="0.2">
      <c r="A61">
        <v>18</v>
      </c>
      <c r="B61">
        <v>1</v>
      </c>
      <c r="C61">
        <v>54</v>
      </c>
      <c r="E61" t="s">
        <v>135</v>
      </c>
      <c r="F61" t="s">
        <v>136</v>
      </c>
      <c r="G61" t="s">
        <v>137</v>
      </c>
      <c r="H61" t="s">
        <v>18</v>
      </c>
      <c r="I61">
        <f>I60*J61</f>
        <v>16</v>
      </c>
      <c r="J61">
        <v>100</v>
      </c>
      <c r="K61">
        <v>100</v>
      </c>
      <c r="O61">
        <f t="shared" si="60"/>
        <v>1366.24</v>
      </c>
      <c r="P61">
        <f t="shared" si="61"/>
        <v>1366.24</v>
      </c>
      <c r="Q61">
        <f t="shared" si="62"/>
        <v>0</v>
      </c>
      <c r="R61">
        <f t="shared" si="63"/>
        <v>0</v>
      </c>
      <c r="S61">
        <f t="shared" si="64"/>
        <v>0</v>
      </c>
      <c r="T61">
        <f t="shared" si="65"/>
        <v>0</v>
      </c>
      <c r="U61">
        <f t="shared" si="66"/>
        <v>0</v>
      </c>
      <c r="V61">
        <f t="shared" si="67"/>
        <v>0</v>
      </c>
      <c r="W61">
        <f t="shared" si="68"/>
        <v>0</v>
      </c>
      <c r="X61">
        <f t="shared" si="69"/>
        <v>0</v>
      </c>
      <c r="Y61">
        <f t="shared" si="70"/>
        <v>0</v>
      </c>
      <c r="AA61">
        <v>81141517</v>
      </c>
      <c r="AB61">
        <f t="shared" si="71"/>
        <v>85.39</v>
      </c>
      <c r="AC61">
        <f t="shared" si="72"/>
        <v>85.39</v>
      </c>
      <c r="AD61">
        <f t="shared" si="73"/>
        <v>0</v>
      </c>
      <c r="AE61">
        <f t="shared" si="74"/>
        <v>0</v>
      </c>
      <c r="AF61">
        <f t="shared" si="75"/>
        <v>0</v>
      </c>
      <c r="AG61">
        <f t="shared" si="76"/>
        <v>0</v>
      </c>
      <c r="AH61">
        <f t="shared" si="77"/>
        <v>0</v>
      </c>
      <c r="AI61">
        <f t="shared" si="78"/>
        <v>0</v>
      </c>
      <c r="AJ61">
        <f t="shared" si="79"/>
        <v>0</v>
      </c>
      <c r="AK61">
        <v>85.39</v>
      </c>
      <c r="AL61">
        <v>85.39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70</v>
      </c>
      <c r="AU61">
        <v>10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1</v>
      </c>
      <c r="BD61" t="s">
        <v>3</v>
      </c>
      <c r="BE61" t="s">
        <v>3</v>
      </c>
      <c r="BF61" t="s">
        <v>3</v>
      </c>
      <c r="BG61" t="s">
        <v>3</v>
      </c>
      <c r="BH61">
        <v>3</v>
      </c>
      <c r="BI61">
        <v>4</v>
      </c>
      <c r="BJ61" t="s">
        <v>138</v>
      </c>
      <c r="BM61">
        <v>0</v>
      </c>
      <c r="BN61">
        <v>0</v>
      </c>
      <c r="BO61" t="s">
        <v>3</v>
      </c>
      <c r="BP61">
        <v>0</v>
      </c>
      <c r="BQ61">
        <v>1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70</v>
      </c>
      <c r="CA61">
        <v>10</v>
      </c>
      <c r="CB61" t="s">
        <v>3</v>
      </c>
      <c r="CE61">
        <v>0</v>
      </c>
      <c r="CF61">
        <v>0</v>
      </c>
      <c r="CG61">
        <v>0</v>
      </c>
      <c r="CM61">
        <v>0</v>
      </c>
      <c r="CN61" t="s">
        <v>3</v>
      </c>
      <c r="CO61">
        <v>0</v>
      </c>
      <c r="CP61">
        <f t="shared" si="80"/>
        <v>1366.24</v>
      </c>
      <c r="CQ61">
        <f t="shared" si="81"/>
        <v>85.39</v>
      </c>
      <c r="CR61">
        <f t="shared" si="82"/>
        <v>0</v>
      </c>
      <c r="CS61">
        <f t="shared" si="83"/>
        <v>0</v>
      </c>
      <c r="CT61">
        <f t="shared" si="84"/>
        <v>0</v>
      </c>
      <c r="CU61">
        <f t="shared" si="85"/>
        <v>0</v>
      </c>
      <c r="CV61">
        <f t="shared" si="86"/>
        <v>0</v>
      </c>
      <c r="CW61">
        <f t="shared" si="87"/>
        <v>0</v>
      </c>
      <c r="CX61">
        <f t="shared" si="88"/>
        <v>0</v>
      </c>
      <c r="CY61">
        <f t="shared" si="89"/>
        <v>0</v>
      </c>
      <c r="CZ61">
        <f t="shared" si="90"/>
        <v>0</v>
      </c>
      <c r="DC61" t="s">
        <v>3</v>
      </c>
      <c r="DD61" t="s">
        <v>3</v>
      </c>
      <c r="DE61" t="s">
        <v>3</v>
      </c>
      <c r="DF61" t="s">
        <v>3</v>
      </c>
      <c r="DG61" t="s">
        <v>3</v>
      </c>
      <c r="DH61" t="s">
        <v>3</v>
      </c>
      <c r="DI61" t="s">
        <v>3</v>
      </c>
      <c r="DJ61" t="s">
        <v>3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1010</v>
      </c>
      <c r="DV61" t="s">
        <v>18</v>
      </c>
      <c r="DW61" t="s">
        <v>18</v>
      </c>
      <c r="DX61">
        <v>1</v>
      </c>
      <c r="DZ61" t="s">
        <v>3</v>
      </c>
      <c r="EA61" t="s">
        <v>3</v>
      </c>
      <c r="EB61" t="s">
        <v>3</v>
      </c>
      <c r="EC61" t="s">
        <v>3</v>
      </c>
      <c r="EE61">
        <v>80196140</v>
      </c>
      <c r="EF61">
        <v>1</v>
      </c>
      <c r="EG61" t="s">
        <v>20</v>
      </c>
      <c r="EH61">
        <v>0</v>
      </c>
      <c r="EI61" t="s">
        <v>3</v>
      </c>
      <c r="EJ61">
        <v>4</v>
      </c>
      <c r="EK61">
        <v>0</v>
      </c>
      <c r="EL61" t="s">
        <v>21</v>
      </c>
      <c r="EM61" t="s">
        <v>22</v>
      </c>
      <c r="EO61" t="s">
        <v>3</v>
      </c>
      <c r="EQ61">
        <v>0</v>
      </c>
      <c r="ER61">
        <v>85.39</v>
      </c>
      <c r="ES61">
        <v>85.39</v>
      </c>
      <c r="ET61">
        <v>0</v>
      </c>
      <c r="EU61">
        <v>0</v>
      </c>
      <c r="EV61">
        <v>0</v>
      </c>
      <c r="EW61">
        <v>0</v>
      </c>
      <c r="EX61">
        <v>0</v>
      </c>
      <c r="FQ61">
        <v>0</v>
      </c>
      <c r="FR61">
        <v>0</v>
      </c>
      <c r="FS61">
        <v>0</v>
      </c>
      <c r="FX61">
        <v>70</v>
      </c>
      <c r="FY61">
        <v>10</v>
      </c>
      <c r="GA61" t="s">
        <v>3</v>
      </c>
      <c r="GD61">
        <v>0</v>
      </c>
      <c r="GF61">
        <v>-1047936037</v>
      </c>
      <c r="GG61">
        <v>2</v>
      </c>
      <c r="GH61">
        <v>1</v>
      </c>
      <c r="GI61">
        <v>-2</v>
      </c>
      <c r="GJ61">
        <v>0</v>
      </c>
      <c r="GK61">
        <f>ROUND(R61*(R12)/100,2)</f>
        <v>0</v>
      </c>
      <c r="GL61">
        <f t="shared" si="91"/>
        <v>0</v>
      </c>
      <c r="GM61">
        <f t="shared" si="92"/>
        <v>1366.24</v>
      </c>
      <c r="GN61">
        <f t="shared" si="93"/>
        <v>0</v>
      </c>
      <c r="GO61">
        <f t="shared" si="94"/>
        <v>0</v>
      </c>
      <c r="GP61">
        <f t="shared" si="95"/>
        <v>1366.24</v>
      </c>
      <c r="GR61">
        <v>0</v>
      </c>
      <c r="GS61">
        <v>3</v>
      </c>
      <c r="GT61">
        <v>0</v>
      </c>
      <c r="GU61" t="s">
        <v>3</v>
      </c>
      <c r="GV61">
        <f t="shared" si="96"/>
        <v>0</v>
      </c>
      <c r="GW61">
        <v>1</v>
      </c>
      <c r="GX61">
        <f t="shared" si="97"/>
        <v>0</v>
      </c>
      <c r="HA61">
        <v>0</v>
      </c>
      <c r="HB61">
        <v>0</v>
      </c>
      <c r="HC61">
        <f t="shared" si="98"/>
        <v>0</v>
      </c>
      <c r="HE61" t="s">
        <v>3</v>
      </c>
      <c r="HF61" t="s">
        <v>3</v>
      </c>
      <c r="HM61" t="s">
        <v>3</v>
      </c>
      <c r="HN61" t="s">
        <v>3</v>
      </c>
      <c r="HO61" t="s">
        <v>3</v>
      </c>
      <c r="HP61" t="s">
        <v>3</v>
      </c>
      <c r="HQ61" t="s">
        <v>3</v>
      </c>
      <c r="HS61">
        <v>0</v>
      </c>
      <c r="IK61">
        <v>0</v>
      </c>
    </row>
    <row r="62" spans="1:245" x14ac:dyDescent="0.2">
      <c r="A62">
        <v>18</v>
      </c>
      <c r="B62">
        <v>1</v>
      </c>
      <c r="C62">
        <v>55</v>
      </c>
      <c r="E62" t="s">
        <v>139</v>
      </c>
      <c r="F62" t="s">
        <v>140</v>
      </c>
      <c r="G62" t="s">
        <v>141</v>
      </c>
      <c r="H62" t="s">
        <v>18</v>
      </c>
      <c r="I62">
        <f>I60*J62</f>
        <v>16</v>
      </c>
      <c r="J62">
        <v>100</v>
      </c>
      <c r="K62">
        <v>100</v>
      </c>
      <c r="O62">
        <f t="shared" si="60"/>
        <v>934.88</v>
      </c>
      <c r="P62">
        <f t="shared" si="61"/>
        <v>934.88</v>
      </c>
      <c r="Q62">
        <f t="shared" si="62"/>
        <v>0</v>
      </c>
      <c r="R62">
        <f t="shared" si="63"/>
        <v>0</v>
      </c>
      <c r="S62">
        <f t="shared" si="64"/>
        <v>0</v>
      </c>
      <c r="T62">
        <f t="shared" si="65"/>
        <v>0</v>
      </c>
      <c r="U62">
        <f t="shared" si="66"/>
        <v>0</v>
      </c>
      <c r="V62">
        <f t="shared" si="67"/>
        <v>0</v>
      </c>
      <c r="W62">
        <f t="shared" si="68"/>
        <v>0</v>
      </c>
      <c r="X62">
        <f t="shared" si="69"/>
        <v>0</v>
      </c>
      <c r="Y62">
        <f t="shared" si="70"/>
        <v>0</v>
      </c>
      <c r="AA62">
        <v>81141517</v>
      </c>
      <c r="AB62">
        <f t="shared" si="71"/>
        <v>58.43</v>
      </c>
      <c r="AC62">
        <f t="shared" si="72"/>
        <v>58.43</v>
      </c>
      <c r="AD62">
        <f t="shared" si="73"/>
        <v>0</v>
      </c>
      <c r="AE62">
        <f t="shared" si="74"/>
        <v>0</v>
      </c>
      <c r="AF62">
        <f t="shared" si="75"/>
        <v>0</v>
      </c>
      <c r="AG62">
        <f t="shared" si="76"/>
        <v>0</v>
      </c>
      <c r="AH62">
        <f t="shared" si="77"/>
        <v>0</v>
      </c>
      <c r="AI62">
        <f t="shared" si="78"/>
        <v>0</v>
      </c>
      <c r="AJ62">
        <f t="shared" si="79"/>
        <v>0</v>
      </c>
      <c r="AK62">
        <v>58.43</v>
      </c>
      <c r="AL62">
        <v>58.43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70</v>
      </c>
      <c r="AU62">
        <v>10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3</v>
      </c>
      <c r="BI62">
        <v>4</v>
      </c>
      <c r="BJ62" t="s">
        <v>142</v>
      </c>
      <c r="BM62">
        <v>0</v>
      </c>
      <c r="BN62">
        <v>0</v>
      </c>
      <c r="BO62" t="s">
        <v>3</v>
      </c>
      <c r="BP62">
        <v>0</v>
      </c>
      <c r="BQ62">
        <v>1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70</v>
      </c>
      <c r="CA62">
        <v>10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 t="shared" si="80"/>
        <v>934.88</v>
      </c>
      <c r="CQ62">
        <f t="shared" si="81"/>
        <v>58.43</v>
      </c>
      <c r="CR62">
        <f t="shared" si="82"/>
        <v>0</v>
      </c>
      <c r="CS62">
        <f t="shared" si="83"/>
        <v>0</v>
      </c>
      <c r="CT62">
        <f t="shared" si="84"/>
        <v>0</v>
      </c>
      <c r="CU62">
        <f t="shared" si="85"/>
        <v>0</v>
      </c>
      <c r="CV62">
        <f t="shared" si="86"/>
        <v>0</v>
      </c>
      <c r="CW62">
        <f t="shared" si="87"/>
        <v>0</v>
      </c>
      <c r="CX62">
        <f t="shared" si="88"/>
        <v>0</v>
      </c>
      <c r="CY62">
        <f t="shared" si="89"/>
        <v>0</v>
      </c>
      <c r="CZ62">
        <f t="shared" si="90"/>
        <v>0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1010</v>
      </c>
      <c r="DV62" t="s">
        <v>18</v>
      </c>
      <c r="DW62" t="s">
        <v>18</v>
      </c>
      <c r="DX62">
        <v>1</v>
      </c>
      <c r="DZ62" t="s">
        <v>3</v>
      </c>
      <c r="EA62" t="s">
        <v>3</v>
      </c>
      <c r="EB62" t="s">
        <v>3</v>
      </c>
      <c r="EC62" t="s">
        <v>3</v>
      </c>
      <c r="EE62">
        <v>80196140</v>
      </c>
      <c r="EF62">
        <v>1</v>
      </c>
      <c r="EG62" t="s">
        <v>20</v>
      </c>
      <c r="EH62">
        <v>0</v>
      </c>
      <c r="EI62" t="s">
        <v>3</v>
      </c>
      <c r="EJ62">
        <v>4</v>
      </c>
      <c r="EK62">
        <v>0</v>
      </c>
      <c r="EL62" t="s">
        <v>21</v>
      </c>
      <c r="EM62" t="s">
        <v>22</v>
      </c>
      <c r="EO62" t="s">
        <v>3</v>
      </c>
      <c r="EQ62">
        <v>0</v>
      </c>
      <c r="ER62">
        <v>58.43</v>
      </c>
      <c r="ES62">
        <v>58.43</v>
      </c>
      <c r="ET62">
        <v>0</v>
      </c>
      <c r="EU62">
        <v>0</v>
      </c>
      <c r="EV62">
        <v>0</v>
      </c>
      <c r="EW62">
        <v>0</v>
      </c>
      <c r="EX62">
        <v>0</v>
      </c>
      <c r="FQ62">
        <v>0</v>
      </c>
      <c r="FR62">
        <v>0</v>
      </c>
      <c r="FS62">
        <v>0</v>
      </c>
      <c r="FX62">
        <v>70</v>
      </c>
      <c r="FY62">
        <v>10</v>
      </c>
      <c r="GA62" t="s">
        <v>3</v>
      </c>
      <c r="GD62">
        <v>0</v>
      </c>
      <c r="GF62">
        <v>1625983050</v>
      </c>
      <c r="GG62">
        <v>2</v>
      </c>
      <c r="GH62">
        <v>1</v>
      </c>
      <c r="GI62">
        <v>-2</v>
      </c>
      <c r="GJ62">
        <v>0</v>
      </c>
      <c r="GK62">
        <f>ROUND(R62*(R12)/100,2)</f>
        <v>0</v>
      </c>
      <c r="GL62">
        <f t="shared" si="91"/>
        <v>0</v>
      </c>
      <c r="GM62">
        <f t="shared" si="92"/>
        <v>934.88</v>
      </c>
      <c r="GN62">
        <f t="shared" si="93"/>
        <v>0</v>
      </c>
      <c r="GO62">
        <f t="shared" si="94"/>
        <v>0</v>
      </c>
      <c r="GP62">
        <f t="shared" si="95"/>
        <v>934.88</v>
      </c>
      <c r="GR62">
        <v>0</v>
      </c>
      <c r="GS62">
        <v>3</v>
      </c>
      <c r="GT62">
        <v>0</v>
      </c>
      <c r="GU62" t="s">
        <v>3</v>
      </c>
      <c r="GV62">
        <f t="shared" si="96"/>
        <v>0</v>
      </c>
      <c r="GW62">
        <v>1</v>
      </c>
      <c r="GX62">
        <f t="shared" si="97"/>
        <v>0</v>
      </c>
      <c r="HA62">
        <v>0</v>
      </c>
      <c r="HB62">
        <v>0</v>
      </c>
      <c r="HC62">
        <f t="shared" si="98"/>
        <v>0</v>
      </c>
      <c r="HE62" t="s">
        <v>3</v>
      </c>
      <c r="HF62" t="s">
        <v>3</v>
      </c>
      <c r="HM62" t="s">
        <v>3</v>
      </c>
      <c r="HN62" t="s">
        <v>3</v>
      </c>
      <c r="HO62" t="s">
        <v>3</v>
      </c>
      <c r="HP62" t="s">
        <v>3</v>
      </c>
      <c r="HQ62" t="s">
        <v>3</v>
      </c>
      <c r="HS62">
        <v>0</v>
      </c>
      <c r="IK62">
        <v>0</v>
      </c>
    </row>
    <row r="63" spans="1:245" x14ac:dyDescent="0.2">
      <c r="A63">
        <v>18</v>
      </c>
      <c r="B63">
        <v>1</v>
      </c>
      <c r="C63">
        <v>57</v>
      </c>
      <c r="E63" t="s">
        <v>143</v>
      </c>
      <c r="F63" t="s">
        <v>144</v>
      </c>
      <c r="G63" t="s">
        <v>145</v>
      </c>
      <c r="H63" t="s">
        <v>18</v>
      </c>
      <c r="I63">
        <f>I60*J63</f>
        <v>64</v>
      </c>
      <c r="J63">
        <v>400</v>
      </c>
      <c r="K63">
        <v>400</v>
      </c>
      <c r="O63">
        <f t="shared" si="60"/>
        <v>10094.719999999999</v>
      </c>
      <c r="P63">
        <f t="shared" si="61"/>
        <v>10094.719999999999</v>
      </c>
      <c r="Q63">
        <f t="shared" si="62"/>
        <v>0</v>
      </c>
      <c r="R63">
        <f t="shared" si="63"/>
        <v>0</v>
      </c>
      <c r="S63">
        <f t="shared" si="64"/>
        <v>0</v>
      </c>
      <c r="T63">
        <f t="shared" si="65"/>
        <v>0</v>
      </c>
      <c r="U63">
        <f t="shared" si="66"/>
        <v>0</v>
      </c>
      <c r="V63">
        <f t="shared" si="67"/>
        <v>0</v>
      </c>
      <c r="W63">
        <f t="shared" si="68"/>
        <v>0</v>
      </c>
      <c r="X63">
        <f t="shared" si="69"/>
        <v>0</v>
      </c>
      <c r="Y63">
        <f t="shared" si="70"/>
        <v>0</v>
      </c>
      <c r="AA63">
        <v>81141517</v>
      </c>
      <c r="AB63">
        <f t="shared" si="71"/>
        <v>157.72999999999999</v>
      </c>
      <c r="AC63">
        <f t="shared" si="72"/>
        <v>157.72999999999999</v>
      </c>
      <c r="AD63">
        <f t="shared" si="73"/>
        <v>0</v>
      </c>
      <c r="AE63">
        <f t="shared" si="74"/>
        <v>0</v>
      </c>
      <c r="AF63">
        <f t="shared" si="75"/>
        <v>0</v>
      </c>
      <c r="AG63">
        <f t="shared" si="76"/>
        <v>0</v>
      </c>
      <c r="AH63">
        <f t="shared" si="77"/>
        <v>0</v>
      </c>
      <c r="AI63">
        <f t="shared" si="78"/>
        <v>0</v>
      </c>
      <c r="AJ63">
        <f t="shared" si="79"/>
        <v>0</v>
      </c>
      <c r="AK63">
        <v>157.72999999999999</v>
      </c>
      <c r="AL63">
        <v>157.72999999999999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70</v>
      </c>
      <c r="AU63">
        <v>10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1</v>
      </c>
      <c r="BD63" t="s">
        <v>3</v>
      </c>
      <c r="BE63" t="s">
        <v>3</v>
      </c>
      <c r="BF63" t="s">
        <v>3</v>
      </c>
      <c r="BG63" t="s">
        <v>3</v>
      </c>
      <c r="BH63">
        <v>3</v>
      </c>
      <c r="BI63">
        <v>4</v>
      </c>
      <c r="BJ63" t="s">
        <v>146</v>
      </c>
      <c r="BM63">
        <v>0</v>
      </c>
      <c r="BN63">
        <v>0</v>
      </c>
      <c r="BO63" t="s">
        <v>3</v>
      </c>
      <c r="BP63">
        <v>0</v>
      </c>
      <c r="BQ63">
        <v>1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70</v>
      </c>
      <c r="CA63">
        <v>10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 t="shared" si="80"/>
        <v>10094.719999999999</v>
      </c>
      <c r="CQ63">
        <f t="shared" si="81"/>
        <v>157.72999999999999</v>
      </c>
      <c r="CR63">
        <f t="shared" si="82"/>
        <v>0</v>
      </c>
      <c r="CS63">
        <f t="shared" si="83"/>
        <v>0</v>
      </c>
      <c r="CT63">
        <f t="shared" si="84"/>
        <v>0</v>
      </c>
      <c r="CU63">
        <f t="shared" si="85"/>
        <v>0</v>
      </c>
      <c r="CV63">
        <f t="shared" si="86"/>
        <v>0</v>
      </c>
      <c r="CW63">
        <f t="shared" si="87"/>
        <v>0</v>
      </c>
      <c r="CX63">
        <f t="shared" si="88"/>
        <v>0</v>
      </c>
      <c r="CY63">
        <f t="shared" si="89"/>
        <v>0</v>
      </c>
      <c r="CZ63">
        <f t="shared" si="90"/>
        <v>0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1010</v>
      </c>
      <c r="DV63" t="s">
        <v>18</v>
      </c>
      <c r="DW63" t="s">
        <v>18</v>
      </c>
      <c r="DX63">
        <v>1</v>
      </c>
      <c r="DZ63" t="s">
        <v>3</v>
      </c>
      <c r="EA63" t="s">
        <v>3</v>
      </c>
      <c r="EB63" t="s">
        <v>3</v>
      </c>
      <c r="EC63" t="s">
        <v>3</v>
      </c>
      <c r="EE63">
        <v>80196140</v>
      </c>
      <c r="EF63">
        <v>1</v>
      </c>
      <c r="EG63" t="s">
        <v>20</v>
      </c>
      <c r="EH63">
        <v>0</v>
      </c>
      <c r="EI63" t="s">
        <v>3</v>
      </c>
      <c r="EJ63">
        <v>4</v>
      </c>
      <c r="EK63">
        <v>0</v>
      </c>
      <c r="EL63" t="s">
        <v>21</v>
      </c>
      <c r="EM63" t="s">
        <v>22</v>
      </c>
      <c r="EO63" t="s">
        <v>3</v>
      </c>
      <c r="EQ63">
        <v>0</v>
      </c>
      <c r="ER63">
        <v>157.72999999999999</v>
      </c>
      <c r="ES63">
        <v>157.72999999999999</v>
      </c>
      <c r="ET63">
        <v>0</v>
      </c>
      <c r="EU63">
        <v>0</v>
      </c>
      <c r="EV63">
        <v>0</v>
      </c>
      <c r="EW63">
        <v>0</v>
      </c>
      <c r="EX63">
        <v>0</v>
      </c>
      <c r="FQ63">
        <v>0</v>
      </c>
      <c r="FR63">
        <v>0</v>
      </c>
      <c r="FS63">
        <v>0</v>
      </c>
      <c r="FX63">
        <v>70</v>
      </c>
      <c r="FY63">
        <v>10</v>
      </c>
      <c r="GA63" t="s">
        <v>3</v>
      </c>
      <c r="GD63">
        <v>0</v>
      </c>
      <c r="GF63">
        <v>-115702678</v>
      </c>
      <c r="GG63">
        <v>2</v>
      </c>
      <c r="GH63">
        <v>1</v>
      </c>
      <c r="GI63">
        <v>-2</v>
      </c>
      <c r="GJ63">
        <v>0</v>
      </c>
      <c r="GK63">
        <f>ROUND(R63*(R12)/100,2)</f>
        <v>0</v>
      </c>
      <c r="GL63">
        <f t="shared" si="91"/>
        <v>0</v>
      </c>
      <c r="GM63">
        <f t="shared" si="92"/>
        <v>10094.719999999999</v>
      </c>
      <c r="GN63">
        <f t="shared" si="93"/>
        <v>0</v>
      </c>
      <c r="GO63">
        <f t="shared" si="94"/>
        <v>0</v>
      </c>
      <c r="GP63">
        <f t="shared" si="95"/>
        <v>10094.719999999999</v>
      </c>
      <c r="GR63">
        <v>0</v>
      </c>
      <c r="GS63">
        <v>3</v>
      </c>
      <c r="GT63">
        <v>0</v>
      </c>
      <c r="GU63" t="s">
        <v>3</v>
      </c>
      <c r="GV63">
        <f t="shared" si="96"/>
        <v>0</v>
      </c>
      <c r="GW63">
        <v>1</v>
      </c>
      <c r="GX63">
        <f t="shared" si="97"/>
        <v>0</v>
      </c>
      <c r="HA63">
        <v>0</v>
      </c>
      <c r="HB63">
        <v>0</v>
      </c>
      <c r="HC63">
        <f t="shared" si="98"/>
        <v>0</v>
      </c>
      <c r="HE63" t="s">
        <v>3</v>
      </c>
      <c r="HF63" t="s">
        <v>3</v>
      </c>
      <c r="HM63" t="s">
        <v>3</v>
      </c>
      <c r="HN63" t="s">
        <v>3</v>
      </c>
      <c r="HO63" t="s">
        <v>3</v>
      </c>
      <c r="HP63" t="s">
        <v>3</v>
      </c>
      <c r="HQ63" t="s">
        <v>3</v>
      </c>
      <c r="HS63">
        <v>0</v>
      </c>
      <c r="IK63">
        <v>0</v>
      </c>
    </row>
    <row r="64" spans="1:245" x14ac:dyDescent="0.2">
      <c r="A64">
        <v>18</v>
      </c>
      <c r="B64">
        <v>1</v>
      </c>
      <c r="C64">
        <v>56</v>
      </c>
      <c r="E64" t="s">
        <v>147</v>
      </c>
      <c r="F64" t="s">
        <v>148</v>
      </c>
      <c r="G64" t="s">
        <v>149</v>
      </c>
      <c r="H64" t="s">
        <v>18</v>
      </c>
      <c r="I64">
        <f>I60*J64</f>
        <v>16</v>
      </c>
      <c r="J64">
        <v>100</v>
      </c>
      <c r="K64">
        <v>100</v>
      </c>
      <c r="O64">
        <f t="shared" si="60"/>
        <v>3403.2</v>
      </c>
      <c r="P64">
        <f t="shared" si="61"/>
        <v>3403.2</v>
      </c>
      <c r="Q64">
        <f t="shared" si="62"/>
        <v>0</v>
      </c>
      <c r="R64">
        <f t="shared" si="63"/>
        <v>0</v>
      </c>
      <c r="S64">
        <f t="shared" si="64"/>
        <v>0</v>
      </c>
      <c r="T64">
        <f t="shared" si="65"/>
        <v>0</v>
      </c>
      <c r="U64">
        <f t="shared" si="66"/>
        <v>0</v>
      </c>
      <c r="V64">
        <f t="shared" si="67"/>
        <v>0</v>
      </c>
      <c r="W64">
        <f t="shared" si="68"/>
        <v>0</v>
      </c>
      <c r="X64">
        <f t="shared" si="69"/>
        <v>0</v>
      </c>
      <c r="Y64">
        <f t="shared" si="70"/>
        <v>0</v>
      </c>
      <c r="AA64">
        <v>81141517</v>
      </c>
      <c r="AB64">
        <f t="shared" si="71"/>
        <v>212.7</v>
      </c>
      <c r="AC64">
        <f t="shared" si="72"/>
        <v>212.7</v>
      </c>
      <c r="AD64">
        <f t="shared" si="73"/>
        <v>0</v>
      </c>
      <c r="AE64">
        <f t="shared" si="74"/>
        <v>0</v>
      </c>
      <c r="AF64">
        <f t="shared" si="75"/>
        <v>0</v>
      </c>
      <c r="AG64">
        <f t="shared" si="76"/>
        <v>0</v>
      </c>
      <c r="AH64">
        <f t="shared" si="77"/>
        <v>0</v>
      </c>
      <c r="AI64">
        <f t="shared" si="78"/>
        <v>0</v>
      </c>
      <c r="AJ64">
        <f t="shared" si="79"/>
        <v>0</v>
      </c>
      <c r="AK64">
        <v>212.7</v>
      </c>
      <c r="AL64">
        <v>212.7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70</v>
      </c>
      <c r="AU64">
        <v>10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1</v>
      </c>
      <c r="BD64" t="s">
        <v>3</v>
      </c>
      <c r="BE64" t="s">
        <v>3</v>
      </c>
      <c r="BF64" t="s">
        <v>3</v>
      </c>
      <c r="BG64" t="s">
        <v>3</v>
      </c>
      <c r="BH64">
        <v>3</v>
      </c>
      <c r="BI64">
        <v>4</v>
      </c>
      <c r="BJ64" t="s">
        <v>150</v>
      </c>
      <c r="BM64">
        <v>0</v>
      </c>
      <c r="BN64">
        <v>0</v>
      </c>
      <c r="BO64" t="s">
        <v>3</v>
      </c>
      <c r="BP64">
        <v>0</v>
      </c>
      <c r="BQ64">
        <v>1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70</v>
      </c>
      <c r="CA64">
        <v>10</v>
      </c>
      <c r="CB64" t="s">
        <v>3</v>
      </c>
      <c r="CE64">
        <v>0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 t="shared" si="80"/>
        <v>3403.2</v>
      </c>
      <c r="CQ64">
        <f t="shared" si="81"/>
        <v>212.7</v>
      </c>
      <c r="CR64">
        <f t="shared" si="82"/>
        <v>0</v>
      </c>
      <c r="CS64">
        <f t="shared" si="83"/>
        <v>0</v>
      </c>
      <c r="CT64">
        <f t="shared" si="84"/>
        <v>0</v>
      </c>
      <c r="CU64">
        <f t="shared" si="85"/>
        <v>0</v>
      </c>
      <c r="CV64">
        <f t="shared" si="86"/>
        <v>0</v>
      </c>
      <c r="CW64">
        <f t="shared" si="87"/>
        <v>0</v>
      </c>
      <c r="CX64">
        <f t="shared" si="88"/>
        <v>0</v>
      </c>
      <c r="CY64">
        <f t="shared" si="89"/>
        <v>0</v>
      </c>
      <c r="CZ64">
        <f t="shared" si="90"/>
        <v>0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1010</v>
      </c>
      <c r="DV64" t="s">
        <v>18</v>
      </c>
      <c r="DW64" t="s">
        <v>18</v>
      </c>
      <c r="DX64">
        <v>1</v>
      </c>
      <c r="DZ64" t="s">
        <v>3</v>
      </c>
      <c r="EA64" t="s">
        <v>3</v>
      </c>
      <c r="EB64" t="s">
        <v>3</v>
      </c>
      <c r="EC64" t="s">
        <v>3</v>
      </c>
      <c r="EE64">
        <v>80196140</v>
      </c>
      <c r="EF64">
        <v>1</v>
      </c>
      <c r="EG64" t="s">
        <v>20</v>
      </c>
      <c r="EH64">
        <v>0</v>
      </c>
      <c r="EI64" t="s">
        <v>3</v>
      </c>
      <c r="EJ64">
        <v>4</v>
      </c>
      <c r="EK64">
        <v>0</v>
      </c>
      <c r="EL64" t="s">
        <v>21</v>
      </c>
      <c r="EM64" t="s">
        <v>22</v>
      </c>
      <c r="EO64" t="s">
        <v>3</v>
      </c>
      <c r="EQ64">
        <v>0</v>
      </c>
      <c r="ER64">
        <v>212.7</v>
      </c>
      <c r="ES64">
        <v>212.7</v>
      </c>
      <c r="ET64">
        <v>0</v>
      </c>
      <c r="EU64">
        <v>0</v>
      </c>
      <c r="EV64">
        <v>0</v>
      </c>
      <c r="EW64">
        <v>0</v>
      </c>
      <c r="EX64">
        <v>0</v>
      </c>
      <c r="FQ64">
        <v>0</v>
      </c>
      <c r="FR64">
        <v>0</v>
      </c>
      <c r="FS64">
        <v>0</v>
      </c>
      <c r="FX64">
        <v>70</v>
      </c>
      <c r="FY64">
        <v>10</v>
      </c>
      <c r="GA64" t="s">
        <v>3</v>
      </c>
      <c r="GD64">
        <v>0</v>
      </c>
      <c r="GF64">
        <v>-1157508851</v>
      </c>
      <c r="GG64">
        <v>2</v>
      </c>
      <c r="GH64">
        <v>1</v>
      </c>
      <c r="GI64">
        <v>-2</v>
      </c>
      <c r="GJ64">
        <v>0</v>
      </c>
      <c r="GK64">
        <f>ROUND(R64*(R12)/100,2)</f>
        <v>0</v>
      </c>
      <c r="GL64">
        <f t="shared" si="91"/>
        <v>0</v>
      </c>
      <c r="GM64">
        <f t="shared" si="92"/>
        <v>3403.2</v>
      </c>
      <c r="GN64">
        <f t="shared" si="93"/>
        <v>0</v>
      </c>
      <c r="GO64">
        <f t="shared" si="94"/>
        <v>0</v>
      </c>
      <c r="GP64">
        <f t="shared" si="95"/>
        <v>3403.2</v>
      </c>
      <c r="GR64">
        <v>0</v>
      </c>
      <c r="GS64">
        <v>3</v>
      </c>
      <c r="GT64">
        <v>0</v>
      </c>
      <c r="GU64" t="s">
        <v>3</v>
      </c>
      <c r="GV64">
        <f t="shared" si="96"/>
        <v>0</v>
      </c>
      <c r="GW64">
        <v>1</v>
      </c>
      <c r="GX64">
        <f t="shared" si="97"/>
        <v>0</v>
      </c>
      <c r="HA64">
        <v>0</v>
      </c>
      <c r="HB64">
        <v>0</v>
      </c>
      <c r="HC64">
        <f t="shared" si="98"/>
        <v>0</v>
      </c>
      <c r="HE64" t="s">
        <v>3</v>
      </c>
      <c r="HF64" t="s">
        <v>3</v>
      </c>
      <c r="HM64" t="s">
        <v>3</v>
      </c>
      <c r="HN64" t="s">
        <v>3</v>
      </c>
      <c r="HO64" t="s">
        <v>3</v>
      </c>
      <c r="HP64" t="s">
        <v>3</v>
      </c>
      <c r="HQ64" t="s">
        <v>3</v>
      </c>
      <c r="HS64">
        <v>0</v>
      </c>
      <c r="IK64">
        <v>0</v>
      </c>
    </row>
    <row r="65" spans="1:245" x14ac:dyDescent="0.2">
      <c r="A65">
        <v>18</v>
      </c>
      <c r="B65">
        <v>1</v>
      </c>
      <c r="C65">
        <v>53</v>
      </c>
      <c r="E65" t="s">
        <v>151</v>
      </c>
      <c r="F65" t="s">
        <v>152</v>
      </c>
      <c r="G65" t="s">
        <v>153</v>
      </c>
      <c r="H65" t="s">
        <v>154</v>
      </c>
      <c r="I65">
        <f>I60*J65</f>
        <v>32</v>
      </c>
      <c r="J65">
        <v>200</v>
      </c>
      <c r="K65">
        <v>200</v>
      </c>
      <c r="O65">
        <f t="shared" si="60"/>
        <v>247609.92</v>
      </c>
      <c r="P65">
        <f t="shared" si="61"/>
        <v>247609.92</v>
      </c>
      <c r="Q65">
        <f t="shared" si="62"/>
        <v>0</v>
      </c>
      <c r="R65">
        <f t="shared" si="63"/>
        <v>0</v>
      </c>
      <c r="S65">
        <f t="shared" si="64"/>
        <v>0</v>
      </c>
      <c r="T65">
        <f t="shared" si="65"/>
        <v>0</v>
      </c>
      <c r="U65">
        <f t="shared" si="66"/>
        <v>0</v>
      </c>
      <c r="V65">
        <f t="shared" si="67"/>
        <v>0</v>
      </c>
      <c r="W65">
        <f t="shared" si="68"/>
        <v>0</v>
      </c>
      <c r="X65">
        <f t="shared" si="69"/>
        <v>0</v>
      </c>
      <c r="Y65">
        <f t="shared" si="70"/>
        <v>0</v>
      </c>
      <c r="AA65">
        <v>81141517</v>
      </c>
      <c r="AB65">
        <f t="shared" si="71"/>
        <v>7737.81</v>
      </c>
      <c r="AC65">
        <f t="shared" si="72"/>
        <v>7737.81</v>
      </c>
      <c r="AD65">
        <f t="shared" si="73"/>
        <v>0</v>
      </c>
      <c r="AE65">
        <f t="shared" si="74"/>
        <v>0</v>
      </c>
      <c r="AF65">
        <f t="shared" si="75"/>
        <v>0</v>
      </c>
      <c r="AG65">
        <f t="shared" si="76"/>
        <v>0</v>
      </c>
      <c r="AH65">
        <f t="shared" si="77"/>
        <v>0</v>
      </c>
      <c r="AI65">
        <f t="shared" si="78"/>
        <v>0</v>
      </c>
      <c r="AJ65">
        <f t="shared" si="79"/>
        <v>0</v>
      </c>
      <c r="AK65">
        <v>7737.81</v>
      </c>
      <c r="AL65">
        <v>7737.81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70</v>
      </c>
      <c r="AU65">
        <v>10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1</v>
      </c>
      <c r="BD65" t="s">
        <v>3</v>
      </c>
      <c r="BE65" t="s">
        <v>3</v>
      </c>
      <c r="BF65" t="s">
        <v>3</v>
      </c>
      <c r="BG65" t="s">
        <v>3</v>
      </c>
      <c r="BH65">
        <v>3</v>
      </c>
      <c r="BI65">
        <v>4</v>
      </c>
      <c r="BJ65" t="s">
        <v>155</v>
      </c>
      <c r="BM65">
        <v>0</v>
      </c>
      <c r="BN65">
        <v>0</v>
      </c>
      <c r="BO65" t="s">
        <v>3</v>
      </c>
      <c r="BP65">
        <v>0</v>
      </c>
      <c r="BQ65">
        <v>1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70</v>
      </c>
      <c r="CA65">
        <v>10</v>
      </c>
      <c r="CB65" t="s">
        <v>3</v>
      </c>
      <c r="CE65">
        <v>0</v>
      </c>
      <c r="CF65">
        <v>0</v>
      </c>
      <c r="CG65">
        <v>0</v>
      </c>
      <c r="CM65">
        <v>0</v>
      </c>
      <c r="CN65" t="s">
        <v>3</v>
      </c>
      <c r="CO65">
        <v>0</v>
      </c>
      <c r="CP65">
        <f t="shared" si="80"/>
        <v>247609.92</v>
      </c>
      <c r="CQ65">
        <f t="shared" si="81"/>
        <v>7737.81</v>
      </c>
      <c r="CR65">
        <f t="shared" si="82"/>
        <v>0</v>
      </c>
      <c r="CS65">
        <f t="shared" si="83"/>
        <v>0</v>
      </c>
      <c r="CT65">
        <f t="shared" si="84"/>
        <v>0</v>
      </c>
      <c r="CU65">
        <f t="shared" si="85"/>
        <v>0</v>
      </c>
      <c r="CV65">
        <f t="shared" si="86"/>
        <v>0</v>
      </c>
      <c r="CW65">
        <f t="shared" si="87"/>
        <v>0</v>
      </c>
      <c r="CX65">
        <f t="shared" si="88"/>
        <v>0</v>
      </c>
      <c r="CY65">
        <f t="shared" si="89"/>
        <v>0</v>
      </c>
      <c r="CZ65">
        <f t="shared" si="90"/>
        <v>0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1013</v>
      </c>
      <c r="DV65" t="s">
        <v>154</v>
      </c>
      <c r="DW65" t="s">
        <v>154</v>
      </c>
      <c r="DX65">
        <v>1</v>
      </c>
      <c r="DZ65" t="s">
        <v>3</v>
      </c>
      <c r="EA65" t="s">
        <v>3</v>
      </c>
      <c r="EB65" t="s">
        <v>3</v>
      </c>
      <c r="EC65" t="s">
        <v>3</v>
      </c>
      <c r="EE65">
        <v>80196140</v>
      </c>
      <c r="EF65">
        <v>1</v>
      </c>
      <c r="EG65" t="s">
        <v>20</v>
      </c>
      <c r="EH65">
        <v>0</v>
      </c>
      <c r="EI65" t="s">
        <v>3</v>
      </c>
      <c r="EJ65">
        <v>4</v>
      </c>
      <c r="EK65">
        <v>0</v>
      </c>
      <c r="EL65" t="s">
        <v>21</v>
      </c>
      <c r="EM65" t="s">
        <v>22</v>
      </c>
      <c r="EO65" t="s">
        <v>3</v>
      </c>
      <c r="EQ65">
        <v>0</v>
      </c>
      <c r="ER65">
        <v>7737.81</v>
      </c>
      <c r="ES65">
        <v>7737.81</v>
      </c>
      <c r="ET65">
        <v>0</v>
      </c>
      <c r="EU65">
        <v>0</v>
      </c>
      <c r="EV65">
        <v>0</v>
      </c>
      <c r="EW65">
        <v>0</v>
      </c>
      <c r="EX65">
        <v>0</v>
      </c>
      <c r="FQ65">
        <v>0</v>
      </c>
      <c r="FR65">
        <v>0</v>
      </c>
      <c r="FS65">
        <v>0</v>
      </c>
      <c r="FX65">
        <v>70</v>
      </c>
      <c r="FY65">
        <v>10</v>
      </c>
      <c r="GA65" t="s">
        <v>3</v>
      </c>
      <c r="GD65">
        <v>0</v>
      </c>
      <c r="GF65">
        <v>1806748537</v>
      </c>
      <c r="GG65">
        <v>2</v>
      </c>
      <c r="GH65">
        <v>1</v>
      </c>
      <c r="GI65">
        <v>-2</v>
      </c>
      <c r="GJ65">
        <v>0</v>
      </c>
      <c r="GK65">
        <f>ROUND(R65*(R12)/100,2)</f>
        <v>0</v>
      </c>
      <c r="GL65">
        <f t="shared" si="91"/>
        <v>0</v>
      </c>
      <c r="GM65">
        <f t="shared" si="92"/>
        <v>247609.92</v>
      </c>
      <c r="GN65">
        <f t="shared" si="93"/>
        <v>0</v>
      </c>
      <c r="GO65">
        <f t="shared" si="94"/>
        <v>0</v>
      </c>
      <c r="GP65">
        <f t="shared" si="95"/>
        <v>247609.92</v>
      </c>
      <c r="GR65">
        <v>0</v>
      </c>
      <c r="GS65">
        <v>3</v>
      </c>
      <c r="GT65">
        <v>0</v>
      </c>
      <c r="GU65" t="s">
        <v>3</v>
      </c>
      <c r="GV65">
        <f t="shared" si="96"/>
        <v>0</v>
      </c>
      <c r="GW65">
        <v>1</v>
      </c>
      <c r="GX65">
        <f t="shared" si="97"/>
        <v>0</v>
      </c>
      <c r="HA65">
        <v>0</v>
      </c>
      <c r="HB65">
        <v>0</v>
      </c>
      <c r="HC65">
        <f t="shared" si="98"/>
        <v>0</v>
      </c>
      <c r="HE65" t="s">
        <v>3</v>
      </c>
      <c r="HF65" t="s">
        <v>3</v>
      </c>
      <c r="HM65" t="s">
        <v>3</v>
      </c>
      <c r="HN65" t="s">
        <v>3</v>
      </c>
      <c r="HO65" t="s">
        <v>3</v>
      </c>
      <c r="HP65" t="s">
        <v>3</v>
      </c>
      <c r="HQ65" t="s">
        <v>3</v>
      </c>
      <c r="HS65">
        <v>0</v>
      </c>
      <c r="IK65">
        <v>0</v>
      </c>
    </row>
    <row r="66" spans="1:245" x14ac:dyDescent="0.2">
      <c r="A66">
        <v>18</v>
      </c>
      <c r="B66">
        <v>1</v>
      </c>
      <c r="C66">
        <v>58</v>
      </c>
      <c r="E66" t="s">
        <v>156</v>
      </c>
      <c r="F66" t="s">
        <v>24</v>
      </c>
      <c r="G66" t="s">
        <v>157</v>
      </c>
      <c r="H66" t="s">
        <v>18</v>
      </c>
      <c r="I66">
        <f>I60*J66</f>
        <v>16</v>
      </c>
      <c r="J66">
        <v>100</v>
      </c>
      <c r="K66">
        <v>100</v>
      </c>
      <c r="O66">
        <f t="shared" si="60"/>
        <v>115360.48</v>
      </c>
      <c r="P66">
        <f t="shared" si="61"/>
        <v>115360.48</v>
      </c>
      <c r="Q66">
        <f t="shared" si="62"/>
        <v>0</v>
      </c>
      <c r="R66">
        <f t="shared" si="63"/>
        <v>0</v>
      </c>
      <c r="S66">
        <f t="shared" si="64"/>
        <v>0</v>
      </c>
      <c r="T66">
        <f t="shared" si="65"/>
        <v>0</v>
      </c>
      <c r="U66">
        <f t="shared" si="66"/>
        <v>0</v>
      </c>
      <c r="V66">
        <f t="shared" si="67"/>
        <v>0</v>
      </c>
      <c r="W66">
        <f t="shared" si="68"/>
        <v>0</v>
      </c>
      <c r="X66">
        <f t="shared" si="69"/>
        <v>0</v>
      </c>
      <c r="Y66">
        <f t="shared" si="70"/>
        <v>0</v>
      </c>
      <c r="AA66">
        <v>81141517</v>
      </c>
      <c r="AB66">
        <f t="shared" si="71"/>
        <v>7210.03</v>
      </c>
      <c r="AC66">
        <f t="shared" si="72"/>
        <v>7210.03</v>
      </c>
      <c r="AD66">
        <f t="shared" si="73"/>
        <v>0</v>
      </c>
      <c r="AE66">
        <f t="shared" si="74"/>
        <v>0</v>
      </c>
      <c r="AF66">
        <f t="shared" si="75"/>
        <v>0</v>
      </c>
      <c r="AG66">
        <f t="shared" si="76"/>
        <v>0</v>
      </c>
      <c r="AH66">
        <f t="shared" si="77"/>
        <v>0</v>
      </c>
      <c r="AI66">
        <f t="shared" si="78"/>
        <v>0</v>
      </c>
      <c r="AJ66">
        <f t="shared" si="79"/>
        <v>0</v>
      </c>
      <c r="AK66">
        <v>7210.03</v>
      </c>
      <c r="AL66">
        <v>7210.03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70</v>
      </c>
      <c r="AU66">
        <v>10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3</v>
      </c>
      <c r="BE66" t="s">
        <v>3</v>
      </c>
      <c r="BF66" t="s">
        <v>3</v>
      </c>
      <c r="BG66" t="s">
        <v>3</v>
      </c>
      <c r="BH66">
        <v>3</v>
      </c>
      <c r="BI66">
        <v>4</v>
      </c>
      <c r="BJ66" t="s">
        <v>3</v>
      </c>
      <c r="BM66">
        <v>0</v>
      </c>
      <c r="BN66">
        <v>0</v>
      </c>
      <c r="BO66" t="s">
        <v>3</v>
      </c>
      <c r="BP66">
        <v>0</v>
      </c>
      <c r="BQ66">
        <v>1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70</v>
      </c>
      <c r="CA66">
        <v>10</v>
      </c>
      <c r="CB66" t="s">
        <v>3</v>
      </c>
      <c r="CE66">
        <v>0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 t="shared" si="80"/>
        <v>115360.48</v>
      </c>
      <c r="CQ66">
        <f t="shared" si="81"/>
        <v>7210.03</v>
      </c>
      <c r="CR66">
        <f t="shared" si="82"/>
        <v>0</v>
      </c>
      <c r="CS66">
        <f t="shared" si="83"/>
        <v>0</v>
      </c>
      <c r="CT66">
        <f t="shared" si="84"/>
        <v>0</v>
      </c>
      <c r="CU66">
        <f t="shared" si="85"/>
        <v>0</v>
      </c>
      <c r="CV66">
        <f t="shared" si="86"/>
        <v>0</v>
      </c>
      <c r="CW66">
        <f t="shared" si="87"/>
        <v>0</v>
      </c>
      <c r="CX66">
        <f t="shared" si="88"/>
        <v>0</v>
      </c>
      <c r="CY66">
        <f t="shared" si="89"/>
        <v>0</v>
      </c>
      <c r="CZ66">
        <f t="shared" si="90"/>
        <v>0</v>
      </c>
      <c r="DC66" t="s">
        <v>3</v>
      </c>
      <c r="DD66" t="s">
        <v>3</v>
      </c>
      <c r="DE66" t="s">
        <v>3</v>
      </c>
      <c r="DF66" t="s">
        <v>3</v>
      </c>
      <c r="DG66" t="s">
        <v>3</v>
      </c>
      <c r="DH66" t="s">
        <v>3</v>
      </c>
      <c r="DI66" t="s">
        <v>3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1010</v>
      </c>
      <c r="DV66" t="s">
        <v>18</v>
      </c>
      <c r="DW66" t="s">
        <v>18</v>
      </c>
      <c r="DX66">
        <v>1</v>
      </c>
      <c r="DZ66" t="s">
        <v>3</v>
      </c>
      <c r="EA66" t="s">
        <v>3</v>
      </c>
      <c r="EB66" t="s">
        <v>3</v>
      </c>
      <c r="EC66" t="s">
        <v>3</v>
      </c>
      <c r="EE66">
        <v>80196140</v>
      </c>
      <c r="EF66">
        <v>1</v>
      </c>
      <c r="EG66" t="s">
        <v>20</v>
      </c>
      <c r="EH66">
        <v>0</v>
      </c>
      <c r="EI66" t="s">
        <v>3</v>
      </c>
      <c r="EJ66">
        <v>4</v>
      </c>
      <c r="EK66">
        <v>0</v>
      </c>
      <c r="EL66" t="s">
        <v>21</v>
      </c>
      <c r="EM66" t="s">
        <v>22</v>
      </c>
      <c r="EO66" t="s">
        <v>3</v>
      </c>
      <c r="EQ66">
        <v>0</v>
      </c>
      <c r="ER66">
        <v>7210.03</v>
      </c>
      <c r="ES66">
        <v>7210.03</v>
      </c>
      <c r="ET66">
        <v>0</v>
      </c>
      <c r="EU66">
        <v>0</v>
      </c>
      <c r="EV66">
        <v>0</v>
      </c>
      <c r="EW66">
        <v>0</v>
      </c>
      <c r="EX66">
        <v>0</v>
      </c>
      <c r="EZ66">
        <v>5</v>
      </c>
      <c r="FC66">
        <v>1</v>
      </c>
      <c r="FD66">
        <v>18</v>
      </c>
      <c r="FF66">
        <v>8652.0300000000007</v>
      </c>
      <c r="FQ66">
        <v>0</v>
      </c>
      <c r="FR66">
        <v>0</v>
      </c>
      <c r="FS66">
        <v>0</v>
      </c>
      <c r="FX66">
        <v>70</v>
      </c>
      <c r="FY66">
        <v>10</v>
      </c>
      <c r="GA66" t="s">
        <v>158</v>
      </c>
      <c r="GD66">
        <v>0</v>
      </c>
      <c r="GF66">
        <v>95767706</v>
      </c>
      <c r="GG66">
        <v>2</v>
      </c>
      <c r="GH66">
        <v>3</v>
      </c>
      <c r="GI66">
        <v>-2</v>
      </c>
      <c r="GJ66">
        <v>0</v>
      </c>
      <c r="GK66">
        <f>ROUND(R66*(R12)/100,2)</f>
        <v>0</v>
      </c>
      <c r="GL66">
        <f t="shared" si="91"/>
        <v>0</v>
      </c>
      <c r="GM66">
        <f t="shared" si="92"/>
        <v>115360.48</v>
      </c>
      <c r="GN66">
        <f t="shared" si="93"/>
        <v>0</v>
      </c>
      <c r="GO66">
        <f t="shared" si="94"/>
        <v>0</v>
      </c>
      <c r="GP66">
        <f t="shared" si="95"/>
        <v>115360.48</v>
      </c>
      <c r="GR66">
        <v>1</v>
      </c>
      <c r="GS66">
        <v>1</v>
      </c>
      <c r="GT66">
        <v>0</v>
      </c>
      <c r="GU66" t="s">
        <v>3</v>
      </c>
      <c r="GV66">
        <f t="shared" si="96"/>
        <v>0</v>
      </c>
      <c r="GW66">
        <v>1</v>
      </c>
      <c r="GX66">
        <f t="shared" si="97"/>
        <v>0</v>
      </c>
      <c r="HA66">
        <v>0</v>
      </c>
      <c r="HB66">
        <v>0</v>
      </c>
      <c r="HC66">
        <f t="shared" si="98"/>
        <v>0</v>
      </c>
      <c r="HE66" t="s">
        <v>27</v>
      </c>
      <c r="HF66" t="s">
        <v>27</v>
      </c>
      <c r="HM66" t="s">
        <v>3</v>
      </c>
      <c r="HN66" t="s">
        <v>3</v>
      </c>
      <c r="HO66" t="s">
        <v>3</v>
      </c>
      <c r="HP66" t="s">
        <v>3</v>
      </c>
      <c r="HQ66" t="s">
        <v>3</v>
      </c>
      <c r="HS66">
        <v>0</v>
      </c>
      <c r="IK66">
        <v>0</v>
      </c>
    </row>
    <row r="67" spans="1:245" x14ac:dyDescent="0.2">
      <c r="A67">
        <v>17</v>
      </c>
      <c r="B67">
        <v>1</v>
      </c>
      <c r="C67">
        <f>ROW(SmtRes!A67)</f>
        <v>67</v>
      </c>
      <c r="D67">
        <f>ROW(EtalonRes!A35)</f>
        <v>35</v>
      </c>
      <c r="E67" t="s">
        <v>159</v>
      </c>
      <c r="F67" t="s">
        <v>132</v>
      </c>
      <c r="G67" t="s">
        <v>133</v>
      </c>
      <c r="H67" t="s">
        <v>86</v>
      </c>
      <c r="I67">
        <f>ROUND(11/100,9)</f>
        <v>0.11</v>
      </c>
      <c r="J67">
        <v>0</v>
      </c>
      <c r="K67">
        <f>ROUND(11/100,9)</f>
        <v>0.11</v>
      </c>
      <c r="O67">
        <f t="shared" si="60"/>
        <v>64268.95</v>
      </c>
      <c r="P67">
        <f t="shared" si="61"/>
        <v>0</v>
      </c>
      <c r="Q67">
        <f t="shared" si="62"/>
        <v>37722.47</v>
      </c>
      <c r="R67">
        <f t="shared" si="63"/>
        <v>18708.32</v>
      </c>
      <c r="S67">
        <f t="shared" si="64"/>
        <v>26546.48</v>
      </c>
      <c r="T67">
        <f t="shared" si="65"/>
        <v>0</v>
      </c>
      <c r="U67">
        <f t="shared" si="66"/>
        <v>41.744999999999997</v>
      </c>
      <c r="V67">
        <f t="shared" si="67"/>
        <v>0</v>
      </c>
      <c r="W67">
        <f t="shared" si="68"/>
        <v>0</v>
      </c>
      <c r="X67">
        <f t="shared" si="69"/>
        <v>18582.54</v>
      </c>
      <c r="Y67">
        <f t="shared" si="70"/>
        <v>2654.65</v>
      </c>
      <c r="AA67">
        <v>81141517</v>
      </c>
      <c r="AB67">
        <f t="shared" si="71"/>
        <v>584263.18999999994</v>
      </c>
      <c r="AC67">
        <f t="shared" si="72"/>
        <v>0</v>
      </c>
      <c r="AD67">
        <f t="shared" si="73"/>
        <v>342931.56</v>
      </c>
      <c r="AE67">
        <f t="shared" si="74"/>
        <v>170075.68</v>
      </c>
      <c r="AF67">
        <f t="shared" si="75"/>
        <v>241331.63</v>
      </c>
      <c r="AG67">
        <f t="shared" si="76"/>
        <v>0</v>
      </c>
      <c r="AH67">
        <f t="shared" si="77"/>
        <v>379.5</v>
      </c>
      <c r="AI67">
        <f t="shared" si="78"/>
        <v>0</v>
      </c>
      <c r="AJ67">
        <f t="shared" si="79"/>
        <v>0</v>
      </c>
      <c r="AK67">
        <v>584263.18999999994</v>
      </c>
      <c r="AL67">
        <v>0</v>
      </c>
      <c r="AM67">
        <v>342931.56</v>
      </c>
      <c r="AN67">
        <v>170075.68</v>
      </c>
      <c r="AO67">
        <v>241331.63</v>
      </c>
      <c r="AP67">
        <v>0</v>
      </c>
      <c r="AQ67">
        <v>379.5</v>
      </c>
      <c r="AR67">
        <v>0</v>
      </c>
      <c r="AS67">
        <v>0</v>
      </c>
      <c r="AT67">
        <v>70</v>
      </c>
      <c r="AU67">
        <v>10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4</v>
      </c>
      <c r="BJ67" t="s">
        <v>134</v>
      </c>
      <c r="BM67">
        <v>0</v>
      </c>
      <c r="BN67">
        <v>0</v>
      </c>
      <c r="BO67" t="s">
        <v>3</v>
      </c>
      <c r="BP67">
        <v>0</v>
      </c>
      <c r="BQ67">
        <v>1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70</v>
      </c>
      <c r="CA67">
        <v>10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 t="shared" si="80"/>
        <v>64268.95</v>
      </c>
      <c r="CQ67">
        <f t="shared" si="81"/>
        <v>0</v>
      </c>
      <c r="CR67">
        <f t="shared" si="82"/>
        <v>342931.56</v>
      </c>
      <c r="CS67">
        <f t="shared" si="83"/>
        <v>170075.68</v>
      </c>
      <c r="CT67">
        <f t="shared" si="84"/>
        <v>241331.63</v>
      </c>
      <c r="CU67">
        <f t="shared" si="85"/>
        <v>0</v>
      </c>
      <c r="CV67">
        <f t="shared" si="86"/>
        <v>379.5</v>
      </c>
      <c r="CW67">
        <f t="shared" si="87"/>
        <v>0</v>
      </c>
      <c r="CX67">
        <f t="shared" si="88"/>
        <v>0</v>
      </c>
      <c r="CY67">
        <f t="shared" si="89"/>
        <v>18582.536</v>
      </c>
      <c r="CZ67">
        <f t="shared" si="90"/>
        <v>2654.6479999999997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1010</v>
      </c>
      <c r="DV67" t="s">
        <v>86</v>
      </c>
      <c r="DW67" t="s">
        <v>86</v>
      </c>
      <c r="DX67">
        <v>100</v>
      </c>
      <c r="DZ67" t="s">
        <v>3</v>
      </c>
      <c r="EA67" t="s">
        <v>3</v>
      </c>
      <c r="EB67" t="s">
        <v>3</v>
      </c>
      <c r="EC67" t="s">
        <v>3</v>
      </c>
      <c r="EE67">
        <v>80196140</v>
      </c>
      <c r="EF67">
        <v>1</v>
      </c>
      <c r="EG67" t="s">
        <v>20</v>
      </c>
      <c r="EH67">
        <v>0</v>
      </c>
      <c r="EI67" t="s">
        <v>3</v>
      </c>
      <c r="EJ67">
        <v>4</v>
      </c>
      <c r="EK67">
        <v>0</v>
      </c>
      <c r="EL67" t="s">
        <v>21</v>
      </c>
      <c r="EM67" t="s">
        <v>22</v>
      </c>
      <c r="EO67" t="s">
        <v>3</v>
      </c>
      <c r="EQ67">
        <v>0</v>
      </c>
      <c r="ER67">
        <v>584263.18999999994</v>
      </c>
      <c r="ES67">
        <v>0</v>
      </c>
      <c r="ET67">
        <v>342931.56</v>
      </c>
      <c r="EU67">
        <v>170075.68</v>
      </c>
      <c r="EV67">
        <v>241331.63</v>
      </c>
      <c r="EW67">
        <v>379.5</v>
      </c>
      <c r="EX67">
        <v>0</v>
      </c>
      <c r="EY67">
        <v>0</v>
      </c>
      <c r="FQ67">
        <v>0</v>
      </c>
      <c r="FR67">
        <v>0</v>
      </c>
      <c r="FS67">
        <v>0</v>
      </c>
      <c r="FX67">
        <v>70</v>
      </c>
      <c r="FY67">
        <v>10</v>
      </c>
      <c r="GA67" t="s">
        <v>3</v>
      </c>
      <c r="GD67">
        <v>0</v>
      </c>
      <c r="GF67">
        <v>-947927390</v>
      </c>
      <c r="GG67">
        <v>2</v>
      </c>
      <c r="GH67">
        <v>1</v>
      </c>
      <c r="GI67">
        <v>-2</v>
      </c>
      <c r="GJ67">
        <v>0</v>
      </c>
      <c r="GK67">
        <f>ROUND(R67*(R12)/100,2)</f>
        <v>20204.990000000002</v>
      </c>
      <c r="GL67">
        <f t="shared" si="91"/>
        <v>0</v>
      </c>
      <c r="GM67">
        <f t="shared" si="92"/>
        <v>105711.13</v>
      </c>
      <c r="GN67">
        <f t="shared" si="93"/>
        <v>0</v>
      </c>
      <c r="GO67">
        <f t="shared" si="94"/>
        <v>0</v>
      </c>
      <c r="GP67">
        <f t="shared" si="95"/>
        <v>105711.13</v>
      </c>
      <c r="GR67">
        <v>0</v>
      </c>
      <c r="GS67">
        <v>3</v>
      </c>
      <c r="GT67">
        <v>0</v>
      </c>
      <c r="GU67" t="s">
        <v>3</v>
      </c>
      <c r="GV67">
        <f t="shared" si="96"/>
        <v>0</v>
      </c>
      <c r="GW67">
        <v>1</v>
      </c>
      <c r="GX67">
        <f t="shared" si="97"/>
        <v>0</v>
      </c>
      <c r="HA67">
        <v>0</v>
      </c>
      <c r="HB67">
        <v>0</v>
      </c>
      <c r="HC67">
        <f t="shared" si="98"/>
        <v>0</v>
      </c>
      <c r="HE67" t="s">
        <v>3</v>
      </c>
      <c r="HF67" t="s">
        <v>3</v>
      </c>
      <c r="HM67" t="s">
        <v>3</v>
      </c>
      <c r="HN67" t="s">
        <v>3</v>
      </c>
      <c r="HO67" t="s">
        <v>3</v>
      </c>
      <c r="HP67" t="s">
        <v>3</v>
      </c>
      <c r="HQ67" t="s">
        <v>3</v>
      </c>
      <c r="HS67">
        <v>0</v>
      </c>
      <c r="IK67">
        <v>0</v>
      </c>
    </row>
    <row r="68" spans="1:245" x14ac:dyDescent="0.2">
      <c r="A68">
        <v>18</v>
      </c>
      <c r="B68">
        <v>1</v>
      </c>
      <c r="C68">
        <v>63</v>
      </c>
      <c r="E68" t="s">
        <v>160</v>
      </c>
      <c r="F68" t="s">
        <v>136</v>
      </c>
      <c r="G68" t="s">
        <v>137</v>
      </c>
      <c r="H68" t="s">
        <v>18</v>
      </c>
      <c r="I68">
        <f>I67*J68</f>
        <v>11</v>
      </c>
      <c r="J68">
        <v>100</v>
      </c>
      <c r="K68">
        <v>100</v>
      </c>
      <c r="O68">
        <f t="shared" si="60"/>
        <v>939.29</v>
      </c>
      <c r="P68">
        <f t="shared" si="61"/>
        <v>939.29</v>
      </c>
      <c r="Q68">
        <f t="shared" si="62"/>
        <v>0</v>
      </c>
      <c r="R68">
        <f t="shared" si="63"/>
        <v>0</v>
      </c>
      <c r="S68">
        <f t="shared" si="64"/>
        <v>0</v>
      </c>
      <c r="T68">
        <f t="shared" si="65"/>
        <v>0</v>
      </c>
      <c r="U68">
        <f t="shared" si="66"/>
        <v>0</v>
      </c>
      <c r="V68">
        <f t="shared" si="67"/>
        <v>0</v>
      </c>
      <c r="W68">
        <f t="shared" si="68"/>
        <v>0</v>
      </c>
      <c r="X68">
        <f t="shared" si="69"/>
        <v>0</v>
      </c>
      <c r="Y68">
        <f t="shared" si="70"/>
        <v>0</v>
      </c>
      <c r="AA68">
        <v>81141517</v>
      </c>
      <c r="AB68">
        <f t="shared" si="71"/>
        <v>85.39</v>
      </c>
      <c r="AC68">
        <f t="shared" si="72"/>
        <v>85.39</v>
      </c>
      <c r="AD68">
        <f t="shared" si="73"/>
        <v>0</v>
      </c>
      <c r="AE68">
        <f t="shared" si="74"/>
        <v>0</v>
      </c>
      <c r="AF68">
        <f t="shared" si="75"/>
        <v>0</v>
      </c>
      <c r="AG68">
        <f t="shared" si="76"/>
        <v>0</v>
      </c>
      <c r="AH68">
        <f t="shared" si="77"/>
        <v>0</v>
      </c>
      <c r="AI68">
        <f t="shared" si="78"/>
        <v>0</v>
      </c>
      <c r="AJ68">
        <f t="shared" si="79"/>
        <v>0</v>
      </c>
      <c r="AK68">
        <v>85.39</v>
      </c>
      <c r="AL68">
        <v>85.39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70</v>
      </c>
      <c r="AU68">
        <v>10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3</v>
      </c>
      <c r="BE68" t="s">
        <v>3</v>
      </c>
      <c r="BF68" t="s">
        <v>3</v>
      </c>
      <c r="BG68" t="s">
        <v>3</v>
      </c>
      <c r="BH68">
        <v>3</v>
      </c>
      <c r="BI68">
        <v>4</v>
      </c>
      <c r="BJ68" t="s">
        <v>138</v>
      </c>
      <c r="BM68">
        <v>0</v>
      </c>
      <c r="BN68">
        <v>0</v>
      </c>
      <c r="BO68" t="s">
        <v>3</v>
      </c>
      <c r="BP68">
        <v>0</v>
      </c>
      <c r="BQ68">
        <v>1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70</v>
      </c>
      <c r="CA68">
        <v>10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 t="shared" si="80"/>
        <v>939.29</v>
      </c>
      <c r="CQ68">
        <f t="shared" si="81"/>
        <v>85.39</v>
      </c>
      <c r="CR68">
        <f t="shared" si="82"/>
        <v>0</v>
      </c>
      <c r="CS68">
        <f t="shared" si="83"/>
        <v>0</v>
      </c>
      <c r="CT68">
        <f t="shared" si="84"/>
        <v>0</v>
      </c>
      <c r="CU68">
        <f t="shared" si="85"/>
        <v>0</v>
      </c>
      <c r="CV68">
        <f t="shared" si="86"/>
        <v>0</v>
      </c>
      <c r="CW68">
        <f t="shared" si="87"/>
        <v>0</v>
      </c>
      <c r="CX68">
        <f t="shared" si="88"/>
        <v>0</v>
      </c>
      <c r="CY68">
        <f t="shared" si="89"/>
        <v>0</v>
      </c>
      <c r="CZ68">
        <f t="shared" si="90"/>
        <v>0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1010</v>
      </c>
      <c r="DV68" t="s">
        <v>18</v>
      </c>
      <c r="DW68" t="s">
        <v>18</v>
      </c>
      <c r="DX68">
        <v>1</v>
      </c>
      <c r="DZ68" t="s">
        <v>3</v>
      </c>
      <c r="EA68" t="s">
        <v>3</v>
      </c>
      <c r="EB68" t="s">
        <v>3</v>
      </c>
      <c r="EC68" t="s">
        <v>3</v>
      </c>
      <c r="EE68">
        <v>80196140</v>
      </c>
      <c r="EF68">
        <v>1</v>
      </c>
      <c r="EG68" t="s">
        <v>20</v>
      </c>
      <c r="EH68">
        <v>0</v>
      </c>
      <c r="EI68" t="s">
        <v>3</v>
      </c>
      <c r="EJ68">
        <v>4</v>
      </c>
      <c r="EK68">
        <v>0</v>
      </c>
      <c r="EL68" t="s">
        <v>21</v>
      </c>
      <c r="EM68" t="s">
        <v>22</v>
      </c>
      <c r="EO68" t="s">
        <v>3</v>
      </c>
      <c r="EQ68">
        <v>0</v>
      </c>
      <c r="ER68">
        <v>85.39</v>
      </c>
      <c r="ES68">
        <v>85.39</v>
      </c>
      <c r="ET68">
        <v>0</v>
      </c>
      <c r="EU68">
        <v>0</v>
      </c>
      <c r="EV68">
        <v>0</v>
      </c>
      <c r="EW68">
        <v>0</v>
      </c>
      <c r="EX68">
        <v>0</v>
      </c>
      <c r="FQ68">
        <v>0</v>
      </c>
      <c r="FR68">
        <v>0</v>
      </c>
      <c r="FS68">
        <v>0</v>
      </c>
      <c r="FX68">
        <v>70</v>
      </c>
      <c r="FY68">
        <v>10</v>
      </c>
      <c r="GA68" t="s">
        <v>3</v>
      </c>
      <c r="GD68">
        <v>0</v>
      </c>
      <c r="GF68">
        <v>-1047936037</v>
      </c>
      <c r="GG68">
        <v>2</v>
      </c>
      <c r="GH68">
        <v>1</v>
      </c>
      <c r="GI68">
        <v>-2</v>
      </c>
      <c r="GJ68">
        <v>0</v>
      </c>
      <c r="GK68">
        <f>ROUND(R68*(R12)/100,2)</f>
        <v>0</v>
      </c>
      <c r="GL68">
        <f t="shared" si="91"/>
        <v>0</v>
      </c>
      <c r="GM68">
        <f t="shared" si="92"/>
        <v>939.29</v>
      </c>
      <c r="GN68">
        <f t="shared" si="93"/>
        <v>0</v>
      </c>
      <c r="GO68">
        <f t="shared" si="94"/>
        <v>0</v>
      </c>
      <c r="GP68">
        <f t="shared" si="95"/>
        <v>939.29</v>
      </c>
      <c r="GR68">
        <v>0</v>
      </c>
      <c r="GS68">
        <v>3</v>
      </c>
      <c r="GT68">
        <v>0</v>
      </c>
      <c r="GU68" t="s">
        <v>3</v>
      </c>
      <c r="GV68">
        <f t="shared" si="96"/>
        <v>0</v>
      </c>
      <c r="GW68">
        <v>1</v>
      </c>
      <c r="GX68">
        <f t="shared" si="97"/>
        <v>0</v>
      </c>
      <c r="HA68">
        <v>0</v>
      </c>
      <c r="HB68">
        <v>0</v>
      </c>
      <c r="HC68">
        <f t="shared" si="98"/>
        <v>0</v>
      </c>
      <c r="HE68" t="s">
        <v>3</v>
      </c>
      <c r="HF68" t="s">
        <v>3</v>
      </c>
      <c r="HM68" t="s">
        <v>3</v>
      </c>
      <c r="HN68" t="s">
        <v>3</v>
      </c>
      <c r="HO68" t="s">
        <v>3</v>
      </c>
      <c r="HP68" t="s">
        <v>3</v>
      </c>
      <c r="HQ68" t="s">
        <v>3</v>
      </c>
      <c r="HS68">
        <v>0</v>
      </c>
      <c r="IK68">
        <v>0</v>
      </c>
    </row>
    <row r="69" spans="1:245" x14ac:dyDescent="0.2">
      <c r="A69">
        <v>18</v>
      </c>
      <c r="B69">
        <v>1</v>
      </c>
      <c r="C69">
        <v>64</v>
      </c>
      <c r="E69" t="s">
        <v>161</v>
      </c>
      <c r="F69" t="s">
        <v>140</v>
      </c>
      <c r="G69" t="s">
        <v>141</v>
      </c>
      <c r="H69" t="s">
        <v>18</v>
      </c>
      <c r="I69">
        <f>I67*J69</f>
        <v>11</v>
      </c>
      <c r="J69">
        <v>100</v>
      </c>
      <c r="K69">
        <v>100</v>
      </c>
      <c r="O69">
        <f t="shared" si="60"/>
        <v>642.73</v>
      </c>
      <c r="P69">
        <f t="shared" si="61"/>
        <v>642.73</v>
      </c>
      <c r="Q69">
        <f t="shared" si="62"/>
        <v>0</v>
      </c>
      <c r="R69">
        <f t="shared" si="63"/>
        <v>0</v>
      </c>
      <c r="S69">
        <f t="shared" si="64"/>
        <v>0</v>
      </c>
      <c r="T69">
        <f t="shared" si="65"/>
        <v>0</v>
      </c>
      <c r="U69">
        <f t="shared" si="66"/>
        <v>0</v>
      </c>
      <c r="V69">
        <f t="shared" si="67"/>
        <v>0</v>
      </c>
      <c r="W69">
        <f t="shared" si="68"/>
        <v>0</v>
      </c>
      <c r="X69">
        <f t="shared" si="69"/>
        <v>0</v>
      </c>
      <c r="Y69">
        <f t="shared" si="70"/>
        <v>0</v>
      </c>
      <c r="AA69">
        <v>81141517</v>
      </c>
      <c r="AB69">
        <f t="shared" si="71"/>
        <v>58.43</v>
      </c>
      <c r="AC69">
        <f t="shared" si="72"/>
        <v>58.43</v>
      </c>
      <c r="AD69">
        <f t="shared" si="73"/>
        <v>0</v>
      </c>
      <c r="AE69">
        <f t="shared" si="74"/>
        <v>0</v>
      </c>
      <c r="AF69">
        <f t="shared" si="75"/>
        <v>0</v>
      </c>
      <c r="AG69">
        <f t="shared" si="76"/>
        <v>0</v>
      </c>
      <c r="AH69">
        <f t="shared" si="77"/>
        <v>0</v>
      </c>
      <c r="AI69">
        <f t="shared" si="78"/>
        <v>0</v>
      </c>
      <c r="AJ69">
        <f t="shared" si="79"/>
        <v>0</v>
      </c>
      <c r="AK69">
        <v>58.43</v>
      </c>
      <c r="AL69">
        <v>58.43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70</v>
      </c>
      <c r="AU69">
        <v>10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3</v>
      </c>
      <c r="BI69">
        <v>4</v>
      </c>
      <c r="BJ69" t="s">
        <v>142</v>
      </c>
      <c r="BM69">
        <v>0</v>
      </c>
      <c r="BN69">
        <v>0</v>
      </c>
      <c r="BO69" t="s">
        <v>3</v>
      </c>
      <c r="BP69">
        <v>0</v>
      </c>
      <c r="BQ69">
        <v>1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70</v>
      </c>
      <c r="CA69">
        <v>10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 t="shared" si="80"/>
        <v>642.73</v>
      </c>
      <c r="CQ69">
        <f t="shared" si="81"/>
        <v>58.43</v>
      </c>
      <c r="CR69">
        <f t="shared" si="82"/>
        <v>0</v>
      </c>
      <c r="CS69">
        <f t="shared" si="83"/>
        <v>0</v>
      </c>
      <c r="CT69">
        <f t="shared" si="84"/>
        <v>0</v>
      </c>
      <c r="CU69">
        <f t="shared" si="85"/>
        <v>0</v>
      </c>
      <c r="CV69">
        <f t="shared" si="86"/>
        <v>0</v>
      </c>
      <c r="CW69">
        <f t="shared" si="87"/>
        <v>0</v>
      </c>
      <c r="CX69">
        <f t="shared" si="88"/>
        <v>0</v>
      </c>
      <c r="CY69">
        <f t="shared" si="89"/>
        <v>0</v>
      </c>
      <c r="CZ69">
        <f t="shared" si="90"/>
        <v>0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1010</v>
      </c>
      <c r="DV69" t="s">
        <v>18</v>
      </c>
      <c r="DW69" t="s">
        <v>18</v>
      </c>
      <c r="DX69">
        <v>1</v>
      </c>
      <c r="DZ69" t="s">
        <v>3</v>
      </c>
      <c r="EA69" t="s">
        <v>3</v>
      </c>
      <c r="EB69" t="s">
        <v>3</v>
      </c>
      <c r="EC69" t="s">
        <v>3</v>
      </c>
      <c r="EE69">
        <v>80196140</v>
      </c>
      <c r="EF69">
        <v>1</v>
      </c>
      <c r="EG69" t="s">
        <v>20</v>
      </c>
      <c r="EH69">
        <v>0</v>
      </c>
      <c r="EI69" t="s">
        <v>3</v>
      </c>
      <c r="EJ69">
        <v>4</v>
      </c>
      <c r="EK69">
        <v>0</v>
      </c>
      <c r="EL69" t="s">
        <v>21</v>
      </c>
      <c r="EM69" t="s">
        <v>22</v>
      </c>
      <c r="EO69" t="s">
        <v>3</v>
      </c>
      <c r="EQ69">
        <v>0</v>
      </c>
      <c r="ER69">
        <v>58.43</v>
      </c>
      <c r="ES69">
        <v>58.43</v>
      </c>
      <c r="ET69">
        <v>0</v>
      </c>
      <c r="EU69">
        <v>0</v>
      </c>
      <c r="EV69">
        <v>0</v>
      </c>
      <c r="EW69">
        <v>0</v>
      </c>
      <c r="EX69">
        <v>0</v>
      </c>
      <c r="FQ69">
        <v>0</v>
      </c>
      <c r="FR69">
        <v>0</v>
      </c>
      <c r="FS69">
        <v>0</v>
      </c>
      <c r="FX69">
        <v>70</v>
      </c>
      <c r="FY69">
        <v>10</v>
      </c>
      <c r="GA69" t="s">
        <v>3</v>
      </c>
      <c r="GD69">
        <v>0</v>
      </c>
      <c r="GF69">
        <v>1625983050</v>
      </c>
      <c r="GG69">
        <v>2</v>
      </c>
      <c r="GH69">
        <v>1</v>
      </c>
      <c r="GI69">
        <v>-2</v>
      </c>
      <c r="GJ69">
        <v>0</v>
      </c>
      <c r="GK69">
        <f>ROUND(R69*(R12)/100,2)</f>
        <v>0</v>
      </c>
      <c r="GL69">
        <f t="shared" si="91"/>
        <v>0</v>
      </c>
      <c r="GM69">
        <f t="shared" si="92"/>
        <v>642.73</v>
      </c>
      <c r="GN69">
        <f t="shared" si="93"/>
        <v>0</v>
      </c>
      <c r="GO69">
        <f t="shared" si="94"/>
        <v>0</v>
      </c>
      <c r="GP69">
        <f t="shared" si="95"/>
        <v>642.73</v>
      </c>
      <c r="GR69">
        <v>0</v>
      </c>
      <c r="GS69">
        <v>3</v>
      </c>
      <c r="GT69">
        <v>0</v>
      </c>
      <c r="GU69" t="s">
        <v>3</v>
      </c>
      <c r="GV69">
        <f t="shared" si="96"/>
        <v>0</v>
      </c>
      <c r="GW69">
        <v>1</v>
      </c>
      <c r="GX69">
        <f t="shared" si="97"/>
        <v>0</v>
      </c>
      <c r="HA69">
        <v>0</v>
      </c>
      <c r="HB69">
        <v>0</v>
      </c>
      <c r="HC69">
        <f t="shared" si="98"/>
        <v>0</v>
      </c>
      <c r="HE69" t="s">
        <v>3</v>
      </c>
      <c r="HF69" t="s">
        <v>3</v>
      </c>
      <c r="HM69" t="s">
        <v>3</v>
      </c>
      <c r="HN69" t="s">
        <v>3</v>
      </c>
      <c r="HO69" t="s">
        <v>3</v>
      </c>
      <c r="HP69" t="s">
        <v>3</v>
      </c>
      <c r="HQ69" t="s">
        <v>3</v>
      </c>
      <c r="HS69">
        <v>0</v>
      </c>
      <c r="IK69">
        <v>0</v>
      </c>
    </row>
    <row r="70" spans="1:245" x14ac:dyDescent="0.2">
      <c r="A70">
        <v>18</v>
      </c>
      <c r="B70">
        <v>1</v>
      </c>
      <c r="C70">
        <v>66</v>
      </c>
      <c r="E70" t="s">
        <v>162</v>
      </c>
      <c r="F70" t="s">
        <v>144</v>
      </c>
      <c r="G70" t="s">
        <v>145</v>
      </c>
      <c r="H70" t="s">
        <v>18</v>
      </c>
      <c r="I70">
        <f>I67*J70</f>
        <v>44</v>
      </c>
      <c r="J70">
        <v>400</v>
      </c>
      <c r="K70">
        <v>400</v>
      </c>
      <c r="O70">
        <f t="shared" si="60"/>
        <v>6940.12</v>
      </c>
      <c r="P70">
        <f t="shared" si="61"/>
        <v>6940.12</v>
      </c>
      <c r="Q70">
        <f t="shared" si="62"/>
        <v>0</v>
      </c>
      <c r="R70">
        <f t="shared" si="63"/>
        <v>0</v>
      </c>
      <c r="S70">
        <f t="shared" si="64"/>
        <v>0</v>
      </c>
      <c r="T70">
        <f t="shared" si="65"/>
        <v>0</v>
      </c>
      <c r="U70">
        <f t="shared" si="66"/>
        <v>0</v>
      </c>
      <c r="V70">
        <f t="shared" si="67"/>
        <v>0</v>
      </c>
      <c r="W70">
        <f t="shared" si="68"/>
        <v>0</v>
      </c>
      <c r="X70">
        <f t="shared" si="69"/>
        <v>0</v>
      </c>
      <c r="Y70">
        <f t="shared" si="70"/>
        <v>0</v>
      </c>
      <c r="AA70">
        <v>81141517</v>
      </c>
      <c r="AB70">
        <f t="shared" si="71"/>
        <v>157.72999999999999</v>
      </c>
      <c r="AC70">
        <f t="shared" si="72"/>
        <v>157.72999999999999</v>
      </c>
      <c r="AD70">
        <f t="shared" si="73"/>
        <v>0</v>
      </c>
      <c r="AE70">
        <f t="shared" si="74"/>
        <v>0</v>
      </c>
      <c r="AF70">
        <f t="shared" si="75"/>
        <v>0</v>
      </c>
      <c r="AG70">
        <f t="shared" si="76"/>
        <v>0</v>
      </c>
      <c r="AH70">
        <f t="shared" si="77"/>
        <v>0</v>
      </c>
      <c r="AI70">
        <f t="shared" si="78"/>
        <v>0</v>
      </c>
      <c r="AJ70">
        <f t="shared" si="79"/>
        <v>0</v>
      </c>
      <c r="AK70">
        <v>157.72999999999999</v>
      </c>
      <c r="AL70">
        <v>157.72999999999999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70</v>
      </c>
      <c r="AU70">
        <v>10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3</v>
      </c>
      <c r="BI70">
        <v>4</v>
      </c>
      <c r="BJ70" t="s">
        <v>146</v>
      </c>
      <c r="BM70">
        <v>0</v>
      </c>
      <c r="BN70">
        <v>0</v>
      </c>
      <c r="BO70" t="s">
        <v>3</v>
      </c>
      <c r="BP70">
        <v>0</v>
      </c>
      <c r="BQ70">
        <v>1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70</v>
      </c>
      <c r="CA70">
        <v>10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80"/>
        <v>6940.12</v>
      </c>
      <c r="CQ70">
        <f t="shared" si="81"/>
        <v>157.72999999999999</v>
      </c>
      <c r="CR70">
        <f t="shared" si="82"/>
        <v>0</v>
      </c>
      <c r="CS70">
        <f t="shared" si="83"/>
        <v>0</v>
      </c>
      <c r="CT70">
        <f t="shared" si="84"/>
        <v>0</v>
      </c>
      <c r="CU70">
        <f t="shared" si="85"/>
        <v>0</v>
      </c>
      <c r="CV70">
        <f t="shared" si="86"/>
        <v>0</v>
      </c>
      <c r="CW70">
        <f t="shared" si="87"/>
        <v>0</v>
      </c>
      <c r="CX70">
        <f t="shared" si="88"/>
        <v>0</v>
      </c>
      <c r="CY70">
        <f t="shared" si="89"/>
        <v>0</v>
      </c>
      <c r="CZ70">
        <f t="shared" si="90"/>
        <v>0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1010</v>
      </c>
      <c r="DV70" t="s">
        <v>18</v>
      </c>
      <c r="DW70" t="s">
        <v>18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80196140</v>
      </c>
      <c r="EF70">
        <v>1</v>
      </c>
      <c r="EG70" t="s">
        <v>20</v>
      </c>
      <c r="EH70">
        <v>0</v>
      </c>
      <c r="EI70" t="s">
        <v>3</v>
      </c>
      <c r="EJ70">
        <v>4</v>
      </c>
      <c r="EK70">
        <v>0</v>
      </c>
      <c r="EL70" t="s">
        <v>21</v>
      </c>
      <c r="EM70" t="s">
        <v>22</v>
      </c>
      <c r="EO70" t="s">
        <v>3</v>
      </c>
      <c r="EQ70">
        <v>0</v>
      </c>
      <c r="ER70">
        <v>157.72999999999999</v>
      </c>
      <c r="ES70">
        <v>157.72999999999999</v>
      </c>
      <c r="ET70">
        <v>0</v>
      </c>
      <c r="EU70">
        <v>0</v>
      </c>
      <c r="EV70">
        <v>0</v>
      </c>
      <c r="EW70">
        <v>0</v>
      </c>
      <c r="EX70">
        <v>0</v>
      </c>
      <c r="FQ70">
        <v>0</v>
      </c>
      <c r="FR70">
        <v>0</v>
      </c>
      <c r="FS70">
        <v>0</v>
      </c>
      <c r="FX70">
        <v>70</v>
      </c>
      <c r="FY70">
        <v>10</v>
      </c>
      <c r="GA70" t="s">
        <v>3</v>
      </c>
      <c r="GD70">
        <v>0</v>
      </c>
      <c r="GF70">
        <v>-115702678</v>
      </c>
      <c r="GG70">
        <v>2</v>
      </c>
      <c r="GH70">
        <v>1</v>
      </c>
      <c r="GI70">
        <v>-2</v>
      </c>
      <c r="GJ70">
        <v>0</v>
      </c>
      <c r="GK70">
        <f>ROUND(R70*(R12)/100,2)</f>
        <v>0</v>
      </c>
      <c r="GL70">
        <f t="shared" si="91"/>
        <v>0</v>
      </c>
      <c r="GM70">
        <f t="shared" si="92"/>
        <v>6940.12</v>
      </c>
      <c r="GN70">
        <f t="shared" si="93"/>
        <v>0</v>
      </c>
      <c r="GO70">
        <f t="shared" si="94"/>
        <v>0</v>
      </c>
      <c r="GP70">
        <f t="shared" si="95"/>
        <v>6940.12</v>
      </c>
      <c r="GR70">
        <v>0</v>
      </c>
      <c r="GS70">
        <v>3</v>
      </c>
      <c r="GT70">
        <v>0</v>
      </c>
      <c r="GU70" t="s">
        <v>3</v>
      </c>
      <c r="GV70">
        <f t="shared" si="96"/>
        <v>0</v>
      </c>
      <c r="GW70">
        <v>1</v>
      </c>
      <c r="GX70">
        <f t="shared" si="97"/>
        <v>0</v>
      </c>
      <c r="HA70">
        <v>0</v>
      </c>
      <c r="HB70">
        <v>0</v>
      </c>
      <c r="HC70">
        <f t="shared" si="98"/>
        <v>0</v>
      </c>
      <c r="HE70" t="s">
        <v>3</v>
      </c>
      <c r="HF70" t="s">
        <v>3</v>
      </c>
      <c r="HM70" t="s">
        <v>3</v>
      </c>
      <c r="HN70" t="s">
        <v>3</v>
      </c>
      <c r="HO70" t="s">
        <v>3</v>
      </c>
      <c r="HP70" t="s">
        <v>3</v>
      </c>
      <c r="HQ70" t="s">
        <v>3</v>
      </c>
      <c r="HS70">
        <v>0</v>
      </c>
      <c r="IK70">
        <v>0</v>
      </c>
    </row>
    <row r="71" spans="1:245" x14ac:dyDescent="0.2">
      <c r="A71">
        <v>18</v>
      </c>
      <c r="B71">
        <v>1</v>
      </c>
      <c r="C71">
        <v>65</v>
      </c>
      <c r="E71" t="s">
        <v>163</v>
      </c>
      <c r="F71" t="s">
        <v>148</v>
      </c>
      <c r="G71" t="s">
        <v>149</v>
      </c>
      <c r="H71" t="s">
        <v>18</v>
      </c>
      <c r="I71">
        <f>I67*J71</f>
        <v>11</v>
      </c>
      <c r="J71">
        <v>100</v>
      </c>
      <c r="K71">
        <v>100</v>
      </c>
      <c r="O71">
        <f t="shared" si="60"/>
        <v>2339.6999999999998</v>
      </c>
      <c r="P71">
        <f t="shared" si="61"/>
        <v>2339.6999999999998</v>
      </c>
      <c r="Q71">
        <f t="shared" si="62"/>
        <v>0</v>
      </c>
      <c r="R71">
        <f t="shared" si="63"/>
        <v>0</v>
      </c>
      <c r="S71">
        <f t="shared" si="64"/>
        <v>0</v>
      </c>
      <c r="T71">
        <f t="shared" si="65"/>
        <v>0</v>
      </c>
      <c r="U71">
        <f t="shared" si="66"/>
        <v>0</v>
      </c>
      <c r="V71">
        <f t="shared" si="67"/>
        <v>0</v>
      </c>
      <c r="W71">
        <f t="shared" si="68"/>
        <v>0</v>
      </c>
      <c r="X71">
        <f t="shared" si="69"/>
        <v>0</v>
      </c>
      <c r="Y71">
        <f t="shared" si="70"/>
        <v>0</v>
      </c>
      <c r="AA71">
        <v>81141517</v>
      </c>
      <c r="AB71">
        <f t="shared" si="71"/>
        <v>212.7</v>
      </c>
      <c r="AC71">
        <f t="shared" si="72"/>
        <v>212.7</v>
      </c>
      <c r="AD71">
        <f t="shared" si="73"/>
        <v>0</v>
      </c>
      <c r="AE71">
        <f t="shared" si="74"/>
        <v>0</v>
      </c>
      <c r="AF71">
        <f t="shared" si="75"/>
        <v>0</v>
      </c>
      <c r="AG71">
        <f t="shared" si="76"/>
        <v>0</v>
      </c>
      <c r="AH71">
        <f t="shared" si="77"/>
        <v>0</v>
      </c>
      <c r="AI71">
        <f t="shared" si="78"/>
        <v>0</v>
      </c>
      <c r="AJ71">
        <f t="shared" si="79"/>
        <v>0</v>
      </c>
      <c r="AK71">
        <v>212.7</v>
      </c>
      <c r="AL71">
        <v>212.7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3</v>
      </c>
      <c r="BI71">
        <v>4</v>
      </c>
      <c r="BJ71" t="s">
        <v>150</v>
      </c>
      <c r="BM71">
        <v>0</v>
      </c>
      <c r="BN71">
        <v>0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80"/>
        <v>2339.6999999999998</v>
      </c>
      <c r="CQ71">
        <f t="shared" si="81"/>
        <v>212.7</v>
      </c>
      <c r="CR71">
        <f t="shared" si="82"/>
        <v>0</v>
      </c>
      <c r="CS71">
        <f t="shared" si="83"/>
        <v>0</v>
      </c>
      <c r="CT71">
        <f t="shared" si="84"/>
        <v>0</v>
      </c>
      <c r="CU71">
        <f t="shared" si="85"/>
        <v>0</v>
      </c>
      <c r="CV71">
        <f t="shared" si="86"/>
        <v>0</v>
      </c>
      <c r="CW71">
        <f t="shared" si="87"/>
        <v>0</v>
      </c>
      <c r="CX71">
        <f t="shared" si="88"/>
        <v>0</v>
      </c>
      <c r="CY71">
        <f t="shared" si="89"/>
        <v>0</v>
      </c>
      <c r="CZ71">
        <f t="shared" si="90"/>
        <v>0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1010</v>
      </c>
      <c r="DV71" t="s">
        <v>18</v>
      </c>
      <c r="DW71" t="s">
        <v>18</v>
      </c>
      <c r="DX71">
        <v>1</v>
      </c>
      <c r="DZ71" t="s">
        <v>3</v>
      </c>
      <c r="EA71" t="s">
        <v>3</v>
      </c>
      <c r="EB71" t="s">
        <v>3</v>
      </c>
      <c r="EC71" t="s">
        <v>3</v>
      </c>
      <c r="EE71">
        <v>80196140</v>
      </c>
      <c r="EF71">
        <v>1</v>
      </c>
      <c r="EG71" t="s">
        <v>20</v>
      </c>
      <c r="EH71">
        <v>0</v>
      </c>
      <c r="EI71" t="s">
        <v>3</v>
      </c>
      <c r="EJ71">
        <v>4</v>
      </c>
      <c r="EK71">
        <v>0</v>
      </c>
      <c r="EL71" t="s">
        <v>21</v>
      </c>
      <c r="EM71" t="s">
        <v>22</v>
      </c>
      <c r="EO71" t="s">
        <v>3</v>
      </c>
      <c r="EQ71">
        <v>0</v>
      </c>
      <c r="ER71">
        <v>212.7</v>
      </c>
      <c r="ES71">
        <v>212.7</v>
      </c>
      <c r="ET71">
        <v>0</v>
      </c>
      <c r="EU71">
        <v>0</v>
      </c>
      <c r="EV71">
        <v>0</v>
      </c>
      <c r="EW71">
        <v>0</v>
      </c>
      <c r="EX71">
        <v>0</v>
      </c>
      <c r="FQ71">
        <v>0</v>
      </c>
      <c r="FR71"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-1157508851</v>
      </c>
      <c r="GG71">
        <v>2</v>
      </c>
      <c r="GH71">
        <v>1</v>
      </c>
      <c r="GI71">
        <v>-2</v>
      </c>
      <c r="GJ71">
        <v>0</v>
      </c>
      <c r="GK71">
        <f>ROUND(R71*(R12)/100,2)</f>
        <v>0</v>
      </c>
      <c r="GL71">
        <f t="shared" si="91"/>
        <v>0</v>
      </c>
      <c r="GM71">
        <f t="shared" si="92"/>
        <v>2339.6999999999998</v>
      </c>
      <c r="GN71">
        <f t="shared" si="93"/>
        <v>0</v>
      </c>
      <c r="GO71">
        <f t="shared" si="94"/>
        <v>0</v>
      </c>
      <c r="GP71">
        <f t="shared" si="95"/>
        <v>2339.6999999999998</v>
      </c>
      <c r="GR71">
        <v>0</v>
      </c>
      <c r="GS71">
        <v>3</v>
      </c>
      <c r="GT71">
        <v>0</v>
      </c>
      <c r="GU71" t="s">
        <v>3</v>
      </c>
      <c r="GV71">
        <f t="shared" si="96"/>
        <v>0</v>
      </c>
      <c r="GW71">
        <v>1</v>
      </c>
      <c r="GX71">
        <f t="shared" si="97"/>
        <v>0</v>
      </c>
      <c r="HA71">
        <v>0</v>
      </c>
      <c r="HB71">
        <v>0</v>
      </c>
      <c r="HC71">
        <f t="shared" si="98"/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HS71">
        <v>0</v>
      </c>
      <c r="IK71">
        <v>0</v>
      </c>
    </row>
    <row r="72" spans="1:245" x14ac:dyDescent="0.2">
      <c r="A72">
        <v>18</v>
      </c>
      <c r="B72">
        <v>1</v>
      </c>
      <c r="C72">
        <v>62</v>
      </c>
      <c r="E72" t="s">
        <v>164</v>
      </c>
      <c r="F72" t="s">
        <v>152</v>
      </c>
      <c r="G72" t="s">
        <v>153</v>
      </c>
      <c r="H72" t="s">
        <v>154</v>
      </c>
      <c r="I72">
        <f>I67*J72</f>
        <v>22</v>
      </c>
      <c r="J72">
        <v>200</v>
      </c>
      <c r="K72">
        <v>200</v>
      </c>
      <c r="O72">
        <f t="shared" si="60"/>
        <v>170231.82</v>
      </c>
      <c r="P72">
        <f t="shared" si="61"/>
        <v>170231.82</v>
      </c>
      <c r="Q72">
        <f t="shared" si="62"/>
        <v>0</v>
      </c>
      <c r="R72">
        <f t="shared" si="63"/>
        <v>0</v>
      </c>
      <c r="S72">
        <f t="shared" si="64"/>
        <v>0</v>
      </c>
      <c r="T72">
        <f t="shared" si="65"/>
        <v>0</v>
      </c>
      <c r="U72">
        <f t="shared" si="66"/>
        <v>0</v>
      </c>
      <c r="V72">
        <f t="shared" si="67"/>
        <v>0</v>
      </c>
      <c r="W72">
        <f t="shared" si="68"/>
        <v>0</v>
      </c>
      <c r="X72">
        <f t="shared" si="69"/>
        <v>0</v>
      </c>
      <c r="Y72">
        <f t="shared" si="70"/>
        <v>0</v>
      </c>
      <c r="AA72">
        <v>81141517</v>
      </c>
      <c r="AB72">
        <f t="shared" si="71"/>
        <v>7737.81</v>
      </c>
      <c r="AC72">
        <f t="shared" si="72"/>
        <v>7737.81</v>
      </c>
      <c r="AD72">
        <f t="shared" si="73"/>
        <v>0</v>
      </c>
      <c r="AE72">
        <f t="shared" si="74"/>
        <v>0</v>
      </c>
      <c r="AF72">
        <f t="shared" si="75"/>
        <v>0</v>
      </c>
      <c r="AG72">
        <f t="shared" si="76"/>
        <v>0</v>
      </c>
      <c r="AH72">
        <f t="shared" si="77"/>
        <v>0</v>
      </c>
      <c r="AI72">
        <f t="shared" si="78"/>
        <v>0</v>
      </c>
      <c r="AJ72">
        <f t="shared" si="79"/>
        <v>0</v>
      </c>
      <c r="AK72">
        <v>7737.81</v>
      </c>
      <c r="AL72">
        <v>7737.81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70</v>
      </c>
      <c r="AU72">
        <v>10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3</v>
      </c>
      <c r="BI72">
        <v>4</v>
      </c>
      <c r="BJ72" t="s">
        <v>155</v>
      </c>
      <c r="BM72">
        <v>0</v>
      </c>
      <c r="BN72">
        <v>0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70</v>
      </c>
      <c r="CA72">
        <v>10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80"/>
        <v>170231.82</v>
      </c>
      <c r="CQ72">
        <f t="shared" si="81"/>
        <v>7737.81</v>
      </c>
      <c r="CR72">
        <f t="shared" si="82"/>
        <v>0</v>
      </c>
      <c r="CS72">
        <f t="shared" si="83"/>
        <v>0</v>
      </c>
      <c r="CT72">
        <f t="shared" si="84"/>
        <v>0</v>
      </c>
      <c r="CU72">
        <f t="shared" si="85"/>
        <v>0</v>
      </c>
      <c r="CV72">
        <f t="shared" si="86"/>
        <v>0</v>
      </c>
      <c r="CW72">
        <f t="shared" si="87"/>
        <v>0</v>
      </c>
      <c r="CX72">
        <f t="shared" si="88"/>
        <v>0</v>
      </c>
      <c r="CY72">
        <f t="shared" si="89"/>
        <v>0</v>
      </c>
      <c r="CZ72">
        <f t="shared" si="90"/>
        <v>0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154</v>
      </c>
      <c r="DW72" t="s">
        <v>154</v>
      </c>
      <c r="DX72">
        <v>1</v>
      </c>
      <c r="DZ72" t="s">
        <v>3</v>
      </c>
      <c r="EA72" t="s">
        <v>3</v>
      </c>
      <c r="EB72" t="s">
        <v>3</v>
      </c>
      <c r="EC72" t="s">
        <v>3</v>
      </c>
      <c r="EE72">
        <v>80196140</v>
      </c>
      <c r="EF72">
        <v>1</v>
      </c>
      <c r="EG72" t="s">
        <v>20</v>
      </c>
      <c r="EH72">
        <v>0</v>
      </c>
      <c r="EI72" t="s">
        <v>3</v>
      </c>
      <c r="EJ72">
        <v>4</v>
      </c>
      <c r="EK72">
        <v>0</v>
      </c>
      <c r="EL72" t="s">
        <v>21</v>
      </c>
      <c r="EM72" t="s">
        <v>22</v>
      </c>
      <c r="EO72" t="s">
        <v>3</v>
      </c>
      <c r="EQ72">
        <v>0</v>
      </c>
      <c r="ER72">
        <v>7737.81</v>
      </c>
      <c r="ES72">
        <v>7737.81</v>
      </c>
      <c r="ET72">
        <v>0</v>
      </c>
      <c r="EU72">
        <v>0</v>
      </c>
      <c r="EV72">
        <v>0</v>
      </c>
      <c r="EW72">
        <v>0</v>
      </c>
      <c r="EX72">
        <v>0</v>
      </c>
      <c r="FQ72">
        <v>0</v>
      </c>
      <c r="FR72">
        <v>0</v>
      </c>
      <c r="FS72">
        <v>0</v>
      </c>
      <c r="FX72">
        <v>70</v>
      </c>
      <c r="FY72">
        <v>10</v>
      </c>
      <c r="GA72" t="s">
        <v>3</v>
      </c>
      <c r="GD72">
        <v>0</v>
      </c>
      <c r="GF72">
        <v>1806748537</v>
      </c>
      <c r="GG72">
        <v>2</v>
      </c>
      <c r="GH72">
        <v>1</v>
      </c>
      <c r="GI72">
        <v>-2</v>
      </c>
      <c r="GJ72">
        <v>0</v>
      </c>
      <c r="GK72">
        <f>ROUND(R72*(R12)/100,2)</f>
        <v>0</v>
      </c>
      <c r="GL72">
        <f t="shared" si="91"/>
        <v>0</v>
      </c>
      <c r="GM72">
        <f t="shared" si="92"/>
        <v>170231.82</v>
      </c>
      <c r="GN72">
        <f t="shared" si="93"/>
        <v>0</v>
      </c>
      <c r="GO72">
        <f t="shared" si="94"/>
        <v>0</v>
      </c>
      <c r="GP72">
        <f t="shared" si="95"/>
        <v>170231.82</v>
      </c>
      <c r="GR72">
        <v>0</v>
      </c>
      <c r="GS72">
        <v>3</v>
      </c>
      <c r="GT72">
        <v>0</v>
      </c>
      <c r="GU72" t="s">
        <v>3</v>
      </c>
      <c r="GV72">
        <f t="shared" si="96"/>
        <v>0</v>
      </c>
      <c r="GW72">
        <v>1</v>
      </c>
      <c r="GX72">
        <f t="shared" si="97"/>
        <v>0</v>
      </c>
      <c r="HA72">
        <v>0</v>
      </c>
      <c r="HB72">
        <v>0</v>
      </c>
      <c r="HC72">
        <f t="shared" si="98"/>
        <v>0</v>
      </c>
      <c r="HE72" t="s">
        <v>3</v>
      </c>
      <c r="HF72" t="s">
        <v>3</v>
      </c>
      <c r="HM72" t="s">
        <v>3</v>
      </c>
      <c r="HN72" t="s">
        <v>3</v>
      </c>
      <c r="HO72" t="s">
        <v>3</v>
      </c>
      <c r="HP72" t="s">
        <v>3</v>
      </c>
      <c r="HQ72" t="s">
        <v>3</v>
      </c>
      <c r="HS72">
        <v>0</v>
      </c>
      <c r="IK72">
        <v>0</v>
      </c>
    </row>
    <row r="73" spans="1:245" x14ac:dyDescent="0.2">
      <c r="A73">
        <v>18</v>
      </c>
      <c r="B73">
        <v>1</v>
      </c>
      <c r="C73">
        <v>67</v>
      </c>
      <c r="E73" t="s">
        <v>165</v>
      </c>
      <c r="F73" t="s">
        <v>24</v>
      </c>
      <c r="G73" t="s">
        <v>166</v>
      </c>
      <c r="H73" t="s">
        <v>18</v>
      </c>
      <c r="I73">
        <f>I67*J73</f>
        <v>11</v>
      </c>
      <c r="J73">
        <v>100</v>
      </c>
      <c r="K73">
        <v>100</v>
      </c>
      <c r="O73">
        <f t="shared" si="60"/>
        <v>106841.13</v>
      </c>
      <c r="P73">
        <f t="shared" si="61"/>
        <v>106841.13</v>
      </c>
      <c r="Q73">
        <f t="shared" si="62"/>
        <v>0</v>
      </c>
      <c r="R73">
        <f t="shared" si="63"/>
        <v>0</v>
      </c>
      <c r="S73">
        <f t="shared" si="64"/>
        <v>0</v>
      </c>
      <c r="T73">
        <f t="shared" si="65"/>
        <v>0</v>
      </c>
      <c r="U73">
        <f t="shared" si="66"/>
        <v>0</v>
      </c>
      <c r="V73">
        <f t="shared" si="67"/>
        <v>0</v>
      </c>
      <c r="W73">
        <f t="shared" si="68"/>
        <v>0</v>
      </c>
      <c r="X73">
        <f t="shared" si="69"/>
        <v>0</v>
      </c>
      <c r="Y73">
        <f t="shared" si="70"/>
        <v>0</v>
      </c>
      <c r="AA73">
        <v>81141517</v>
      </c>
      <c r="AB73">
        <f t="shared" si="71"/>
        <v>9712.83</v>
      </c>
      <c r="AC73">
        <f t="shared" si="72"/>
        <v>9712.83</v>
      </c>
      <c r="AD73">
        <f t="shared" si="73"/>
        <v>0</v>
      </c>
      <c r="AE73">
        <f t="shared" si="74"/>
        <v>0</v>
      </c>
      <c r="AF73">
        <f t="shared" si="75"/>
        <v>0</v>
      </c>
      <c r="AG73">
        <f t="shared" si="76"/>
        <v>0</v>
      </c>
      <c r="AH73">
        <f t="shared" si="77"/>
        <v>0</v>
      </c>
      <c r="AI73">
        <f t="shared" si="78"/>
        <v>0</v>
      </c>
      <c r="AJ73">
        <f t="shared" si="79"/>
        <v>0</v>
      </c>
      <c r="AK73">
        <v>9712.83</v>
      </c>
      <c r="AL73">
        <v>9712.83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3</v>
      </c>
      <c r="BI73">
        <v>4</v>
      </c>
      <c r="BJ73" t="s">
        <v>3</v>
      </c>
      <c r="BM73">
        <v>0</v>
      </c>
      <c r="BN73">
        <v>0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80"/>
        <v>106841.13</v>
      </c>
      <c r="CQ73">
        <f t="shared" si="81"/>
        <v>9712.83</v>
      </c>
      <c r="CR73">
        <f t="shared" si="82"/>
        <v>0</v>
      </c>
      <c r="CS73">
        <f t="shared" si="83"/>
        <v>0</v>
      </c>
      <c r="CT73">
        <f t="shared" si="84"/>
        <v>0</v>
      </c>
      <c r="CU73">
        <f t="shared" si="85"/>
        <v>0</v>
      </c>
      <c r="CV73">
        <f t="shared" si="86"/>
        <v>0</v>
      </c>
      <c r="CW73">
        <f t="shared" si="87"/>
        <v>0</v>
      </c>
      <c r="CX73">
        <f t="shared" si="88"/>
        <v>0</v>
      </c>
      <c r="CY73">
        <f t="shared" si="89"/>
        <v>0</v>
      </c>
      <c r="CZ73">
        <f t="shared" si="90"/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1010</v>
      </c>
      <c r="DV73" t="s">
        <v>18</v>
      </c>
      <c r="DW73" t="s">
        <v>18</v>
      </c>
      <c r="DX73">
        <v>1</v>
      </c>
      <c r="DZ73" t="s">
        <v>3</v>
      </c>
      <c r="EA73" t="s">
        <v>3</v>
      </c>
      <c r="EB73" t="s">
        <v>3</v>
      </c>
      <c r="EC73" t="s">
        <v>3</v>
      </c>
      <c r="EE73">
        <v>80196140</v>
      </c>
      <c r="EF73">
        <v>1</v>
      </c>
      <c r="EG73" t="s">
        <v>20</v>
      </c>
      <c r="EH73">
        <v>0</v>
      </c>
      <c r="EI73" t="s">
        <v>3</v>
      </c>
      <c r="EJ73">
        <v>4</v>
      </c>
      <c r="EK73">
        <v>0</v>
      </c>
      <c r="EL73" t="s">
        <v>21</v>
      </c>
      <c r="EM73" t="s">
        <v>22</v>
      </c>
      <c r="EO73" t="s">
        <v>3</v>
      </c>
      <c r="EQ73">
        <v>0</v>
      </c>
      <c r="ER73">
        <v>9712.83</v>
      </c>
      <c r="ES73">
        <v>9712.83</v>
      </c>
      <c r="ET73">
        <v>0</v>
      </c>
      <c r="EU73">
        <v>0</v>
      </c>
      <c r="EV73">
        <v>0</v>
      </c>
      <c r="EW73">
        <v>0</v>
      </c>
      <c r="EX73">
        <v>0</v>
      </c>
      <c r="EZ73">
        <v>5</v>
      </c>
      <c r="FC73">
        <v>1</v>
      </c>
      <c r="FD73">
        <v>18</v>
      </c>
      <c r="FF73">
        <v>11655.4</v>
      </c>
      <c r="FQ73">
        <v>0</v>
      </c>
      <c r="FR73">
        <v>0</v>
      </c>
      <c r="FS73">
        <v>0</v>
      </c>
      <c r="FX73">
        <v>70</v>
      </c>
      <c r="FY73">
        <v>10</v>
      </c>
      <c r="GA73" t="s">
        <v>167</v>
      </c>
      <c r="GD73">
        <v>0</v>
      </c>
      <c r="GF73">
        <v>1523191370</v>
      </c>
      <c r="GG73">
        <v>2</v>
      </c>
      <c r="GH73">
        <v>3</v>
      </c>
      <c r="GI73">
        <v>-2</v>
      </c>
      <c r="GJ73">
        <v>0</v>
      </c>
      <c r="GK73">
        <f>ROUND(R73*(R12)/100,2)</f>
        <v>0</v>
      </c>
      <c r="GL73">
        <f t="shared" si="91"/>
        <v>0</v>
      </c>
      <c r="GM73">
        <f t="shared" si="92"/>
        <v>106841.13</v>
      </c>
      <c r="GN73">
        <f t="shared" si="93"/>
        <v>0</v>
      </c>
      <c r="GO73">
        <f t="shared" si="94"/>
        <v>0</v>
      </c>
      <c r="GP73">
        <f t="shared" si="95"/>
        <v>106841.13</v>
      </c>
      <c r="GR73">
        <v>1</v>
      </c>
      <c r="GS73">
        <v>1</v>
      </c>
      <c r="GT73">
        <v>0</v>
      </c>
      <c r="GU73" t="s">
        <v>3</v>
      </c>
      <c r="GV73">
        <f t="shared" si="96"/>
        <v>0</v>
      </c>
      <c r="GW73">
        <v>1</v>
      </c>
      <c r="GX73">
        <f t="shared" si="97"/>
        <v>0</v>
      </c>
      <c r="HA73">
        <v>0</v>
      </c>
      <c r="HB73">
        <v>0</v>
      </c>
      <c r="HC73">
        <f t="shared" si="98"/>
        <v>0</v>
      </c>
      <c r="HE73" t="s">
        <v>27</v>
      </c>
      <c r="HF73" t="s">
        <v>27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HS73">
        <v>0</v>
      </c>
      <c r="IK73">
        <v>0</v>
      </c>
    </row>
    <row r="74" spans="1:245" x14ac:dyDescent="0.2">
      <c r="A74">
        <v>17</v>
      </c>
      <c r="B74">
        <v>1</v>
      </c>
      <c r="C74">
        <f>ROW(SmtRes!A76)</f>
        <v>76</v>
      </c>
      <c r="D74">
        <f>ROW(EtalonRes!A38)</f>
        <v>38</v>
      </c>
      <c r="E74" t="s">
        <v>168</v>
      </c>
      <c r="F74" t="s">
        <v>132</v>
      </c>
      <c r="G74" t="s">
        <v>133</v>
      </c>
      <c r="H74" t="s">
        <v>86</v>
      </c>
      <c r="I74">
        <f>ROUND(65/100,9)</f>
        <v>0.65</v>
      </c>
      <c r="J74">
        <v>0</v>
      </c>
      <c r="K74">
        <f>ROUND(65/100,9)</f>
        <v>0.65</v>
      </c>
      <c r="O74">
        <f t="shared" si="60"/>
        <v>379771.07</v>
      </c>
      <c r="P74">
        <f t="shared" si="61"/>
        <v>0</v>
      </c>
      <c r="Q74">
        <f t="shared" si="62"/>
        <v>222905.51</v>
      </c>
      <c r="R74">
        <f t="shared" si="63"/>
        <v>110549.19</v>
      </c>
      <c r="S74">
        <f t="shared" si="64"/>
        <v>156865.56</v>
      </c>
      <c r="T74">
        <f t="shared" si="65"/>
        <v>0</v>
      </c>
      <c r="U74">
        <f t="shared" si="66"/>
        <v>246.67500000000001</v>
      </c>
      <c r="V74">
        <f t="shared" si="67"/>
        <v>0</v>
      </c>
      <c r="W74">
        <f t="shared" si="68"/>
        <v>0</v>
      </c>
      <c r="X74">
        <f t="shared" si="69"/>
        <v>109805.89</v>
      </c>
      <c r="Y74">
        <f t="shared" si="70"/>
        <v>15686.56</v>
      </c>
      <c r="AA74">
        <v>81141517</v>
      </c>
      <c r="AB74">
        <f t="shared" si="71"/>
        <v>584263.18999999994</v>
      </c>
      <c r="AC74">
        <f t="shared" si="72"/>
        <v>0</v>
      </c>
      <c r="AD74">
        <f t="shared" si="73"/>
        <v>342931.56</v>
      </c>
      <c r="AE74">
        <f t="shared" si="74"/>
        <v>170075.68</v>
      </c>
      <c r="AF74">
        <f t="shared" si="75"/>
        <v>241331.63</v>
      </c>
      <c r="AG74">
        <f t="shared" si="76"/>
        <v>0</v>
      </c>
      <c r="AH74">
        <f t="shared" si="77"/>
        <v>379.5</v>
      </c>
      <c r="AI74">
        <f t="shared" si="78"/>
        <v>0</v>
      </c>
      <c r="AJ74">
        <f t="shared" si="79"/>
        <v>0</v>
      </c>
      <c r="AK74">
        <v>584263.18999999994</v>
      </c>
      <c r="AL74">
        <v>0</v>
      </c>
      <c r="AM74">
        <v>342931.56</v>
      </c>
      <c r="AN74">
        <v>170075.68</v>
      </c>
      <c r="AO74">
        <v>241331.63</v>
      </c>
      <c r="AP74">
        <v>0</v>
      </c>
      <c r="AQ74">
        <v>379.5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4</v>
      </c>
      <c r="BJ74" t="s">
        <v>134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80"/>
        <v>379771.07</v>
      </c>
      <c r="CQ74">
        <f t="shared" si="81"/>
        <v>0</v>
      </c>
      <c r="CR74">
        <f t="shared" si="82"/>
        <v>342931.56</v>
      </c>
      <c r="CS74">
        <f t="shared" si="83"/>
        <v>170075.68</v>
      </c>
      <c r="CT74">
        <f t="shared" si="84"/>
        <v>241331.63</v>
      </c>
      <c r="CU74">
        <f t="shared" si="85"/>
        <v>0</v>
      </c>
      <c r="CV74">
        <f t="shared" si="86"/>
        <v>379.5</v>
      </c>
      <c r="CW74">
        <f t="shared" si="87"/>
        <v>0</v>
      </c>
      <c r="CX74">
        <f t="shared" si="88"/>
        <v>0</v>
      </c>
      <c r="CY74">
        <f t="shared" si="89"/>
        <v>109805.89199999999</v>
      </c>
      <c r="CZ74">
        <f t="shared" si="90"/>
        <v>15686.556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1010</v>
      </c>
      <c r="DV74" t="s">
        <v>86</v>
      </c>
      <c r="DW74" t="s">
        <v>86</v>
      </c>
      <c r="DX74">
        <v>100</v>
      </c>
      <c r="DZ74" t="s">
        <v>3</v>
      </c>
      <c r="EA74" t="s">
        <v>3</v>
      </c>
      <c r="EB74" t="s">
        <v>3</v>
      </c>
      <c r="EC74" t="s">
        <v>3</v>
      </c>
      <c r="EE74">
        <v>80196140</v>
      </c>
      <c r="EF74">
        <v>1</v>
      </c>
      <c r="EG74" t="s">
        <v>20</v>
      </c>
      <c r="EH74">
        <v>0</v>
      </c>
      <c r="EI74" t="s">
        <v>3</v>
      </c>
      <c r="EJ74">
        <v>4</v>
      </c>
      <c r="EK74">
        <v>0</v>
      </c>
      <c r="EL74" t="s">
        <v>21</v>
      </c>
      <c r="EM74" t="s">
        <v>22</v>
      </c>
      <c r="EO74" t="s">
        <v>3</v>
      </c>
      <c r="EQ74">
        <v>0</v>
      </c>
      <c r="ER74">
        <v>584263.18999999994</v>
      </c>
      <c r="ES74">
        <v>0</v>
      </c>
      <c r="ET74">
        <v>342931.56</v>
      </c>
      <c r="EU74">
        <v>170075.68</v>
      </c>
      <c r="EV74">
        <v>241331.63</v>
      </c>
      <c r="EW74">
        <v>379.5</v>
      </c>
      <c r="EX74">
        <v>0</v>
      </c>
      <c r="EY74">
        <v>0</v>
      </c>
      <c r="FQ74">
        <v>0</v>
      </c>
      <c r="FR74"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-947927390</v>
      </c>
      <c r="GG74">
        <v>2</v>
      </c>
      <c r="GH74">
        <v>1</v>
      </c>
      <c r="GI74">
        <v>-2</v>
      </c>
      <c r="GJ74">
        <v>0</v>
      </c>
      <c r="GK74">
        <f>ROUND(R74*(R12)/100,2)</f>
        <v>119393.13</v>
      </c>
      <c r="GL74">
        <f t="shared" si="91"/>
        <v>0</v>
      </c>
      <c r="GM74">
        <f t="shared" si="92"/>
        <v>624656.65</v>
      </c>
      <c r="GN74">
        <f t="shared" si="93"/>
        <v>0</v>
      </c>
      <c r="GO74">
        <f t="shared" si="94"/>
        <v>0</v>
      </c>
      <c r="GP74">
        <f t="shared" si="95"/>
        <v>624656.65</v>
      </c>
      <c r="GR74">
        <v>0</v>
      </c>
      <c r="GS74">
        <v>3</v>
      </c>
      <c r="GT74">
        <v>0</v>
      </c>
      <c r="GU74" t="s">
        <v>3</v>
      </c>
      <c r="GV74">
        <f t="shared" si="96"/>
        <v>0</v>
      </c>
      <c r="GW74">
        <v>1</v>
      </c>
      <c r="GX74">
        <f t="shared" si="97"/>
        <v>0</v>
      </c>
      <c r="HA74">
        <v>0</v>
      </c>
      <c r="HB74">
        <v>0</v>
      </c>
      <c r="HC74">
        <f t="shared" si="98"/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HS74">
        <v>0</v>
      </c>
      <c r="IK74">
        <v>0</v>
      </c>
    </row>
    <row r="75" spans="1:245" x14ac:dyDescent="0.2">
      <c r="A75">
        <v>18</v>
      </c>
      <c r="B75">
        <v>1</v>
      </c>
      <c r="C75">
        <v>72</v>
      </c>
      <c r="E75" t="s">
        <v>169</v>
      </c>
      <c r="F75" t="s">
        <v>136</v>
      </c>
      <c r="G75" t="s">
        <v>137</v>
      </c>
      <c r="H75" t="s">
        <v>18</v>
      </c>
      <c r="I75">
        <f>I74*J75</f>
        <v>65</v>
      </c>
      <c r="J75">
        <v>100</v>
      </c>
      <c r="K75">
        <v>100</v>
      </c>
      <c r="O75">
        <f t="shared" si="60"/>
        <v>5550.35</v>
      </c>
      <c r="P75">
        <f t="shared" si="61"/>
        <v>5550.35</v>
      </c>
      <c r="Q75">
        <f t="shared" si="62"/>
        <v>0</v>
      </c>
      <c r="R75">
        <f t="shared" si="63"/>
        <v>0</v>
      </c>
      <c r="S75">
        <f t="shared" si="64"/>
        <v>0</v>
      </c>
      <c r="T75">
        <f t="shared" si="65"/>
        <v>0</v>
      </c>
      <c r="U75">
        <f t="shared" si="66"/>
        <v>0</v>
      </c>
      <c r="V75">
        <f t="shared" si="67"/>
        <v>0</v>
      </c>
      <c r="W75">
        <f t="shared" si="68"/>
        <v>0</v>
      </c>
      <c r="X75">
        <f t="shared" si="69"/>
        <v>0</v>
      </c>
      <c r="Y75">
        <f t="shared" si="70"/>
        <v>0</v>
      </c>
      <c r="AA75">
        <v>81141517</v>
      </c>
      <c r="AB75">
        <f t="shared" si="71"/>
        <v>85.39</v>
      </c>
      <c r="AC75">
        <f t="shared" si="72"/>
        <v>85.39</v>
      </c>
      <c r="AD75">
        <f t="shared" si="73"/>
        <v>0</v>
      </c>
      <c r="AE75">
        <f t="shared" si="74"/>
        <v>0</v>
      </c>
      <c r="AF75">
        <f t="shared" si="75"/>
        <v>0</v>
      </c>
      <c r="AG75">
        <f t="shared" si="76"/>
        <v>0</v>
      </c>
      <c r="AH75">
        <f t="shared" si="77"/>
        <v>0</v>
      </c>
      <c r="AI75">
        <f t="shared" si="78"/>
        <v>0</v>
      </c>
      <c r="AJ75">
        <f t="shared" si="79"/>
        <v>0</v>
      </c>
      <c r="AK75">
        <v>85.39</v>
      </c>
      <c r="AL75">
        <v>85.39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4</v>
      </c>
      <c r="BJ75" t="s">
        <v>138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80"/>
        <v>5550.35</v>
      </c>
      <c r="CQ75">
        <f t="shared" si="81"/>
        <v>85.39</v>
      </c>
      <c r="CR75">
        <f t="shared" si="82"/>
        <v>0</v>
      </c>
      <c r="CS75">
        <f t="shared" si="83"/>
        <v>0</v>
      </c>
      <c r="CT75">
        <f t="shared" si="84"/>
        <v>0</v>
      </c>
      <c r="CU75">
        <f t="shared" si="85"/>
        <v>0</v>
      </c>
      <c r="CV75">
        <f t="shared" si="86"/>
        <v>0</v>
      </c>
      <c r="CW75">
        <f t="shared" si="87"/>
        <v>0</v>
      </c>
      <c r="CX75">
        <f t="shared" si="88"/>
        <v>0</v>
      </c>
      <c r="CY75">
        <f t="shared" si="89"/>
        <v>0</v>
      </c>
      <c r="CZ75">
        <f t="shared" si="90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1010</v>
      </c>
      <c r="DV75" t="s">
        <v>18</v>
      </c>
      <c r="DW75" t="s">
        <v>18</v>
      </c>
      <c r="DX75">
        <v>1</v>
      </c>
      <c r="DZ75" t="s">
        <v>3</v>
      </c>
      <c r="EA75" t="s">
        <v>3</v>
      </c>
      <c r="EB75" t="s">
        <v>3</v>
      </c>
      <c r="EC75" t="s">
        <v>3</v>
      </c>
      <c r="EE75">
        <v>80196140</v>
      </c>
      <c r="EF75">
        <v>1</v>
      </c>
      <c r="EG75" t="s">
        <v>20</v>
      </c>
      <c r="EH75">
        <v>0</v>
      </c>
      <c r="EI75" t="s">
        <v>3</v>
      </c>
      <c r="EJ75">
        <v>4</v>
      </c>
      <c r="EK75">
        <v>0</v>
      </c>
      <c r="EL75" t="s">
        <v>21</v>
      </c>
      <c r="EM75" t="s">
        <v>22</v>
      </c>
      <c r="EO75" t="s">
        <v>3</v>
      </c>
      <c r="EQ75">
        <v>0</v>
      </c>
      <c r="ER75">
        <v>85.39</v>
      </c>
      <c r="ES75">
        <v>85.39</v>
      </c>
      <c r="ET75">
        <v>0</v>
      </c>
      <c r="EU75">
        <v>0</v>
      </c>
      <c r="EV75">
        <v>0</v>
      </c>
      <c r="EW75">
        <v>0</v>
      </c>
      <c r="EX75">
        <v>0</v>
      </c>
      <c r="FQ75">
        <v>0</v>
      </c>
      <c r="FR75"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-1047936037</v>
      </c>
      <c r="GG75">
        <v>2</v>
      </c>
      <c r="GH75">
        <v>1</v>
      </c>
      <c r="GI75">
        <v>-2</v>
      </c>
      <c r="GJ75">
        <v>0</v>
      </c>
      <c r="GK75">
        <f>ROUND(R75*(R12)/100,2)</f>
        <v>0</v>
      </c>
      <c r="GL75">
        <f t="shared" si="91"/>
        <v>0</v>
      </c>
      <c r="GM75">
        <f t="shared" si="92"/>
        <v>5550.35</v>
      </c>
      <c r="GN75">
        <f t="shared" si="93"/>
        <v>0</v>
      </c>
      <c r="GO75">
        <f t="shared" si="94"/>
        <v>0</v>
      </c>
      <c r="GP75">
        <f t="shared" si="95"/>
        <v>5550.35</v>
      </c>
      <c r="GR75">
        <v>0</v>
      </c>
      <c r="GS75">
        <v>3</v>
      </c>
      <c r="GT75">
        <v>0</v>
      </c>
      <c r="GU75" t="s">
        <v>3</v>
      </c>
      <c r="GV75">
        <f t="shared" si="96"/>
        <v>0</v>
      </c>
      <c r="GW75">
        <v>1</v>
      </c>
      <c r="GX75">
        <f t="shared" si="97"/>
        <v>0</v>
      </c>
      <c r="HA75">
        <v>0</v>
      </c>
      <c r="HB75">
        <v>0</v>
      </c>
      <c r="HC75">
        <f t="shared" si="98"/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HS75">
        <v>0</v>
      </c>
      <c r="IK75">
        <v>0</v>
      </c>
    </row>
    <row r="76" spans="1:245" x14ac:dyDescent="0.2">
      <c r="A76">
        <v>18</v>
      </c>
      <c r="B76">
        <v>1</v>
      </c>
      <c r="C76">
        <v>73</v>
      </c>
      <c r="E76" t="s">
        <v>170</v>
      </c>
      <c r="F76" t="s">
        <v>140</v>
      </c>
      <c r="G76" t="s">
        <v>141</v>
      </c>
      <c r="H76" t="s">
        <v>18</v>
      </c>
      <c r="I76">
        <f>I74*J76</f>
        <v>65</v>
      </c>
      <c r="J76">
        <v>100</v>
      </c>
      <c r="K76">
        <v>100</v>
      </c>
      <c r="O76">
        <f t="shared" si="60"/>
        <v>3797.95</v>
      </c>
      <c r="P76">
        <f t="shared" si="61"/>
        <v>3797.95</v>
      </c>
      <c r="Q76">
        <f t="shared" si="62"/>
        <v>0</v>
      </c>
      <c r="R76">
        <f t="shared" si="63"/>
        <v>0</v>
      </c>
      <c r="S76">
        <f t="shared" si="64"/>
        <v>0</v>
      </c>
      <c r="T76">
        <f t="shared" si="65"/>
        <v>0</v>
      </c>
      <c r="U76">
        <f t="shared" si="66"/>
        <v>0</v>
      </c>
      <c r="V76">
        <f t="shared" si="67"/>
        <v>0</v>
      </c>
      <c r="W76">
        <f t="shared" si="68"/>
        <v>0</v>
      </c>
      <c r="X76">
        <f t="shared" si="69"/>
        <v>0</v>
      </c>
      <c r="Y76">
        <f t="shared" si="70"/>
        <v>0</v>
      </c>
      <c r="AA76">
        <v>81141517</v>
      </c>
      <c r="AB76">
        <f t="shared" si="71"/>
        <v>58.43</v>
      </c>
      <c r="AC76">
        <f t="shared" si="72"/>
        <v>58.43</v>
      </c>
      <c r="AD76">
        <f t="shared" si="73"/>
        <v>0</v>
      </c>
      <c r="AE76">
        <f t="shared" si="74"/>
        <v>0</v>
      </c>
      <c r="AF76">
        <f t="shared" si="75"/>
        <v>0</v>
      </c>
      <c r="AG76">
        <f t="shared" si="76"/>
        <v>0</v>
      </c>
      <c r="AH76">
        <f t="shared" si="77"/>
        <v>0</v>
      </c>
      <c r="AI76">
        <f t="shared" si="78"/>
        <v>0</v>
      </c>
      <c r="AJ76">
        <f t="shared" si="79"/>
        <v>0</v>
      </c>
      <c r="AK76">
        <v>58.43</v>
      </c>
      <c r="AL76">
        <v>58.43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70</v>
      </c>
      <c r="AU76">
        <v>10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4</v>
      </c>
      <c r="BJ76" t="s">
        <v>142</v>
      </c>
      <c r="BM76">
        <v>0</v>
      </c>
      <c r="BN76">
        <v>0</v>
      </c>
      <c r="BO76" t="s">
        <v>3</v>
      </c>
      <c r="BP76">
        <v>0</v>
      </c>
      <c r="BQ76">
        <v>1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70</v>
      </c>
      <c r="CA76">
        <v>10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80"/>
        <v>3797.95</v>
      </c>
      <c r="CQ76">
        <f t="shared" si="81"/>
        <v>58.43</v>
      </c>
      <c r="CR76">
        <f t="shared" si="82"/>
        <v>0</v>
      </c>
      <c r="CS76">
        <f t="shared" si="83"/>
        <v>0</v>
      </c>
      <c r="CT76">
        <f t="shared" si="84"/>
        <v>0</v>
      </c>
      <c r="CU76">
        <f t="shared" si="85"/>
        <v>0</v>
      </c>
      <c r="CV76">
        <f t="shared" si="86"/>
        <v>0</v>
      </c>
      <c r="CW76">
        <f t="shared" si="87"/>
        <v>0</v>
      </c>
      <c r="CX76">
        <f t="shared" si="88"/>
        <v>0</v>
      </c>
      <c r="CY76">
        <f t="shared" si="89"/>
        <v>0</v>
      </c>
      <c r="CZ76">
        <f t="shared" si="90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1010</v>
      </c>
      <c r="DV76" t="s">
        <v>18</v>
      </c>
      <c r="DW76" t="s">
        <v>18</v>
      </c>
      <c r="DX76">
        <v>1</v>
      </c>
      <c r="DZ76" t="s">
        <v>3</v>
      </c>
      <c r="EA76" t="s">
        <v>3</v>
      </c>
      <c r="EB76" t="s">
        <v>3</v>
      </c>
      <c r="EC76" t="s">
        <v>3</v>
      </c>
      <c r="EE76">
        <v>80196140</v>
      </c>
      <c r="EF76">
        <v>1</v>
      </c>
      <c r="EG76" t="s">
        <v>20</v>
      </c>
      <c r="EH76">
        <v>0</v>
      </c>
      <c r="EI76" t="s">
        <v>3</v>
      </c>
      <c r="EJ76">
        <v>4</v>
      </c>
      <c r="EK76">
        <v>0</v>
      </c>
      <c r="EL76" t="s">
        <v>21</v>
      </c>
      <c r="EM76" t="s">
        <v>22</v>
      </c>
      <c r="EO76" t="s">
        <v>3</v>
      </c>
      <c r="EQ76">
        <v>0</v>
      </c>
      <c r="ER76">
        <v>58.43</v>
      </c>
      <c r="ES76">
        <v>58.43</v>
      </c>
      <c r="ET76">
        <v>0</v>
      </c>
      <c r="EU76">
        <v>0</v>
      </c>
      <c r="EV76">
        <v>0</v>
      </c>
      <c r="EW76">
        <v>0</v>
      </c>
      <c r="EX76">
        <v>0</v>
      </c>
      <c r="FQ76">
        <v>0</v>
      </c>
      <c r="FR76">
        <v>0</v>
      </c>
      <c r="FS76">
        <v>0</v>
      </c>
      <c r="FX76">
        <v>70</v>
      </c>
      <c r="FY76">
        <v>10</v>
      </c>
      <c r="GA76" t="s">
        <v>3</v>
      </c>
      <c r="GD76">
        <v>0</v>
      </c>
      <c r="GF76">
        <v>1625983050</v>
      </c>
      <c r="GG76">
        <v>2</v>
      </c>
      <c r="GH76">
        <v>1</v>
      </c>
      <c r="GI76">
        <v>-2</v>
      </c>
      <c r="GJ76">
        <v>0</v>
      </c>
      <c r="GK76">
        <f>ROUND(R76*(R12)/100,2)</f>
        <v>0</v>
      </c>
      <c r="GL76">
        <f t="shared" si="91"/>
        <v>0</v>
      </c>
      <c r="GM76">
        <f t="shared" si="92"/>
        <v>3797.95</v>
      </c>
      <c r="GN76">
        <f t="shared" si="93"/>
        <v>0</v>
      </c>
      <c r="GO76">
        <f t="shared" si="94"/>
        <v>0</v>
      </c>
      <c r="GP76">
        <f t="shared" si="95"/>
        <v>3797.95</v>
      </c>
      <c r="GR76">
        <v>0</v>
      </c>
      <c r="GS76">
        <v>3</v>
      </c>
      <c r="GT76">
        <v>0</v>
      </c>
      <c r="GU76" t="s">
        <v>3</v>
      </c>
      <c r="GV76">
        <f t="shared" si="96"/>
        <v>0</v>
      </c>
      <c r="GW76">
        <v>1</v>
      </c>
      <c r="GX76">
        <f t="shared" si="97"/>
        <v>0</v>
      </c>
      <c r="HA76">
        <v>0</v>
      </c>
      <c r="HB76">
        <v>0</v>
      </c>
      <c r="HC76">
        <f t="shared" si="98"/>
        <v>0</v>
      </c>
      <c r="HE76" t="s">
        <v>3</v>
      </c>
      <c r="HF76" t="s">
        <v>3</v>
      </c>
      <c r="HM76" t="s">
        <v>3</v>
      </c>
      <c r="HN76" t="s">
        <v>3</v>
      </c>
      <c r="HO76" t="s">
        <v>3</v>
      </c>
      <c r="HP76" t="s">
        <v>3</v>
      </c>
      <c r="HQ76" t="s">
        <v>3</v>
      </c>
      <c r="HS76">
        <v>0</v>
      </c>
      <c r="IK76">
        <v>0</v>
      </c>
    </row>
    <row r="77" spans="1:245" x14ac:dyDescent="0.2">
      <c r="A77">
        <v>18</v>
      </c>
      <c r="B77">
        <v>1</v>
      </c>
      <c r="C77">
        <v>75</v>
      </c>
      <c r="E77" t="s">
        <v>171</v>
      </c>
      <c r="F77" t="s">
        <v>144</v>
      </c>
      <c r="G77" t="s">
        <v>145</v>
      </c>
      <c r="H77" t="s">
        <v>18</v>
      </c>
      <c r="I77">
        <f>I74*J77</f>
        <v>260</v>
      </c>
      <c r="J77">
        <v>400</v>
      </c>
      <c r="K77">
        <v>400</v>
      </c>
      <c r="O77">
        <f t="shared" si="60"/>
        <v>41009.800000000003</v>
      </c>
      <c r="P77">
        <f t="shared" si="61"/>
        <v>41009.800000000003</v>
      </c>
      <c r="Q77">
        <f t="shared" si="62"/>
        <v>0</v>
      </c>
      <c r="R77">
        <f t="shared" si="63"/>
        <v>0</v>
      </c>
      <c r="S77">
        <f t="shared" si="64"/>
        <v>0</v>
      </c>
      <c r="T77">
        <f t="shared" si="65"/>
        <v>0</v>
      </c>
      <c r="U77">
        <f t="shared" si="66"/>
        <v>0</v>
      </c>
      <c r="V77">
        <f t="shared" si="67"/>
        <v>0</v>
      </c>
      <c r="W77">
        <f t="shared" si="68"/>
        <v>0</v>
      </c>
      <c r="X77">
        <f t="shared" si="69"/>
        <v>0</v>
      </c>
      <c r="Y77">
        <f t="shared" si="70"/>
        <v>0</v>
      </c>
      <c r="AA77">
        <v>81141517</v>
      </c>
      <c r="AB77">
        <f t="shared" si="71"/>
        <v>157.72999999999999</v>
      </c>
      <c r="AC77">
        <f t="shared" si="72"/>
        <v>157.72999999999999</v>
      </c>
      <c r="AD77">
        <f t="shared" si="73"/>
        <v>0</v>
      </c>
      <c r="AE77">
        <f t="shared" si="74"/>
        <v>0</v>
      </c>
      <c r="AF77">
        <f t="shared" si="75"/>
        <v>0</v>
      </c>
      <c r="AG77">
        <f t="shared" si="76"/>
        <v>0</v>
      </c>
      <c r="AH77">
        <f t="shared" si="77"/>
        <v>0</v>
      </c>
      <c r="AI77">
        <f t="shared" si="78"/>
        <v>0</v>
      </c>
      <c r="AJ77">
        <f t="shared" si="79"/>
        <v>0</v>
      </c>
      <c r="AK77">
        <v>157.72999999999999</v>
      </c>
      <c r="AL77">
        <v>157.72999999999999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70</v>
      </c>
      <c r="AU77">
        <v>10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4</v>
      </c>
      <c r="BJ77" t="s">
        <v>146</v>
      </c>
      <c r="BM77">
        <v>0</v>
      </c>
      <c r="BN77">
        <v>0</v>
      </c>
      <c r="BO77" t="s">
        <v>3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70</v>
      </c>
      <c r="CA77">
        <v>10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80"/>
        <v>41009.800000000003</v>
      </c>
      <c r="CQ77">
        <f t="shared" si="81"/>
        <v>157.72999999999999</v>
      </c>
      <c r="CR77">
        <f t="shared" si="82"/>
        <v>0</v>
      </c>
      <c r="CS77">
        <f t="shared" si="83"/>
        <v>0</v>
      </c>
      <c r="CT77">
        <f t="shared" si="84"/>
        <v>0</v>
      </c>
      <c r="CU77">
        <f t="shared" si="85"/>
        <v>0</v>
      </c>
      <c r="CV77">
        <f t="shared" si="86"/>
        <v>0</v>
      </c>
      <c r="CW77">
        <f t="shared" si="87"/>
        <v>0</v>
      </c>
      <c r="CX77">
        <f t="shared" si="88"/>
        <v>0</v>
      </c>
      <c r="CY77">
        <f t="shared" si="89"/>
        <v>0</v>
      </c>
      <c r="CZ77">
        <f t="shared" si="90"/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1010</v>
      </c>
      <c r="DV77" t="s">
        <v>18</v>
      </c>
      <c r="DW77" t="s">
        <v>18</v>
      </c>
      <c r="DX77">
        <v>1</v>
      </c>
      <c r="DZ77" t="s">
        <v>3</v>
      </c>
      <c r="EA77" t="s">
        <v>3</v>
      </c>
      <c r="EB77" t="s">
        <v>3</v>
      </c>
      <c r="EC77" t="s">
        <v>3</v>
      </c>
      <c r="EE77">
        <v>80196140</v>
      </c>
      <c r="EF77">
        <v>1</v>
      </c>
      <c r="EG77" t="s">
        <v>20</v>
      </c>
      <c r="EH77">
        <v>0</v>
      </c>
      <c r="EI77" t="s">
        <v>3</v>
      </c>
      <c r="EJ77">
        <v>4</v>
      </c>
      <c r="EK77">
        <v>0</v>
      </c>
      <c r="EL77" t="s">
        <v>21</v>
      </c>
      <c r="EM77" t="s">
        <v>22</v>
      </c>
      <c r="EO77" t="s">
        <v>3</v>
      </c>
      <c r="EQ77">
        <v>0</v>
      </c>
      <c r="ER77">
        <v>157.72999999999999</v>
      </c>
      <c r="ES77">
        <v>157.72999999999999</v>
      </c>
      <c r="ET77">
        <v>0</v>
      </c>
      <c r="EU77">
        <v>0</v>
      </c>
      <c r="EV77">
        <v>0</v>
      </c>
      <c r="EW77">
        <v>0</v>
      </c>
      <c r="EX77">
        <v>0</v>
      </c>
      <c r="FQ77">
        <v>0</v>
      </c>
      <c r="FR77">
        <v>0</v>
      </c>
      <c r="FS77">
        <v>0</v>
      </c>
      <c r="FX77">
        <v>70</v>
      </c>
      <c r="FY77">
        <v>10</v>
      </c>
      <c r="GA77" t="s">
        <v>3</v>
      </c>
      <c r="GD77">
        <v>0</v>
      </c>
      <c r="GF77">
        <v>-115702678</v>
      </c>
      <c r="GG77">
        <v>2</v>
      </c>
      <c r="GH77">
        <v>1</v>
      </c>
      <c r="GI77">
        <v>-2</v>
      </c>
      <c r="GJ77">
        <v>0</v>
      </c>
      <c r="GK77">
        <f>ROUND(R77*(R12)/100,2)</f>
        <v>0</v>
      </c>
      <c r="GL77">
        <f t="shared" si="91"/>
        <v>0</v>
      </c>
      <c r="GM77">
        <f t="shared" si="92"/>
        <v>41009.800000000003</v>
      </c>
      <c r="GN77">
        <f t="shared" si="93"/>
        <v>0</v>
      </c>
      <c r="GO77">
        <f t="shared" si="94"/>
        <v>0</v>
      </c>
      <c r="GP77">
        <f t="shared" si="95"/>
        <v>41009.800000000003</v>
      </c>
      <c r="GR77">
        <v>0</v>
      </c>
      <c r="GS77">
        <v>3</v>
      </c>
      <c r="GT77">
        <v>0</v>
      </c>
      <c r="GU77" t="s">
        <v>3</v>
      </c>
      <c r="GV77">
        <f t="shared" si="96"/>
        <v>0</v>
      </c>
      <c r="GW77">
        <v>1</v>
      </c>
      <c r="GX77">
        <f t="shared" si="97"/>
        <v>0</v>
      </c>
      <c r="HA77">
        <v>0</v>
      </c>
      <c r="HB77">
        <v>0</v>
      </c>
      <c r="HC77">
        <f t="shared" si="98"/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HS77">
        <v>0</v>
      </c>
      <c r="IK77">
        <v>0</v>
      </c>
    </row>
    <row r="78" spans="1:245" x14ac:dyDescent="0.2">
      <c r="A78">
        <v>18</v>
      </c>
      <c r="B78">
        <v>1</v>
      </c>
      <c r="C78">
        <v>74</v>
      </c>
      <c r="E78" t="s">
        <v>172</v>
      </c>
      <c r="F78" t="s">
        <v>148</v>
      </c>
      <c r="G78" t="s">
        <v>149</v>
      </c>
      <c r="H78" t="s">
        <v>18</v>
      </c>
      <c r="I78">
        <f>I74*J78</f>
        <v>65</v>
      </c>
      <c r="J78">
        <v>100</v>
      </c>
      <c r="K78">
        <v>100</v>
      </c>
      <c r="O78">
        <f t="shared" si="60"/>
        <v>13825.5</v>
      </c>
      <c r="P78">
        <f t="shared" si="61"/>
        <v>13825.5</v>
      </c>
      <c r="Q78">
        <f t="shared" si="62"/>
        <v>0</v>
      </c>
      <c r="R78">
        <f t="shared" si="63"/>
        <v>0</v>
      </c>
      <c r="S78">
        <f t="shared" si="64"/>
        <v>0</v>
      </c>
      <c r="T78">
        <f t="shared" si="65"/>
        <v>0</v>
      </c>
      <c r="U78">
        <f t="shared" si="66"/>
        <v>0</v>
      </c>
      <c r="V78">
        <f t="shared" si="67"/>
        <v>0</v>
      </c>
      <c r="W78">
        <f t="shared" si="68"/>
        <v>0</v>
      </c>
      <c r="X78">
        <f t="shared" si="69"/>
        <v>0</v>
      </c>
      <c r="Y78">
        <f t="shared" si="70"/>
        <v>0</v>
      </c>
      <c r="AA78">
        <v>81141517</v>
      </c>
      <c r="AB78">
        <f t="shared" si="71"/>
        <v>212.7</v>
      </c>
      <c r="AC78">
        <f t="shared" si="72"/>
        <v>212.7</v>
      </c>
      <c r="AD78">
        <f t="shared" si="73"/>
        <v>0</v>
      </c>
      <c r="AE78">
        <f t="shared" si="74"/>
        <v>0</v>
      </c>
      <c r="AF78">
        <f t="shared" si="75"/>
        <v>0</v>
      </c>
      <c r="AG78">
        <f t="shared" si="76"/>
        <v>0</v>
      </c>
      <c r="AH78">
        <f t="shared" si="77"/>
        <v>0</v>
      </c>
      <c r="AI78">
        <f t="shared" si="78"/>
        <v>0</v>
      </c>
      <c r="AJ78">
        <f t="shared" si="79"/>
        <v>0</v>
      </c>
      <c r="AK78">
        <v>212.7</v>
      </c>
      <c r="AL78">
        <v>212.7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4</v>
      </c>
      <c r="BJ78" t="s">
        <v>150</v>
      </c>
      <c r="BM78">
        <v>0</v>
      </c>
      <c r="BN78">
        <v>0</v>
      </c>
      <c r="BO78" t="s">
        <v>3</v>
      </c>
      <c r="BP78">
        <v>0</v>
      </c>
      <c r="BQ78">
        <v>1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80"/>
        <v>13825.5</v>
      </c>
      <c r="CQ78">
        <f t="shared" si="81"/>
        <v>212.7</v>
      </c>
      <c r="CR78">
        <f t="shared" si="82"/>
        <v>0</v>
      </c>
      <c r="CS78">
        <f t="shared" si="83"/>
        <v>0</v>
      </c>
      <c r="CT78">
        <f t="shared" si="84"/>
        <v>0</v>
      </c>
      <c r="CU78">
        <f t="shared" si="85"/>
        <v>0</v>
      </c>
      <c r="CV78">
        <f t="shared" si="86"/>
        <v>0</v>
      </c>
      <c r="CW78">
        <f t="shared" si="87"/>
        <v>0</v>
      </c>
      <c r="CX78">
        <f t="shared" si="88"/>
        <v>0</v>
      </c>
      <c r="CY78">
        <f t="shared" si="89"/>
        <v>0</v>
      </c>
      <c r="CZ78">
        <f t="shared" si="90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1010</v>
      </c>
      <c r="DV78" t="s">
        <v>18</v>
      </c>
      <c r="DW78" t="s">
        <v>18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80196140</v>
      </c>
      <c r="EF78">
        <v>1</v>
      </c>
      <c r="EG78" t="s">
        <v>20</v>
      </c>
      <c r="EH78">
        <v>0</v>
      </c>
      <c r="EI78" t="s">
        <v>3</v>
      </c>
      <c r="EJ78">
        <v>4</v>
      </c>
      <c r="EK78">
        <v>0</v>
      </c>
      <c r="EL78" t="s">
        <v>21</v>
      </c>
      <c r="EM78" t="s">
        <v>22</v>
      </c>
      <c r="EO78" t="s">
        <v>3</v>
      </c>
      <c r="EQ78">
        <v>0</v>
      </c>
      <c r="ER78">
        <v>212.7</v>
      </c>
      <c r="ES78">
        <v>212.7</v>
      </c>
      <c r="ET78">
        <v>0</v>
      </c>
      <c r="EU78">
        <v>0</v>
      </c>
      <c r="EV78">
        <v>0</v>
      </c>
      <c r="EW78">
        <v>0</v>
      </c>
      <c r="EX78">
        <v>0</v>
      </c>
      <c r="FQ78">
        <v>0</v>
      </c>
      <c r="FR78"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-1157508851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 t="shared" si="91"/>
        <v>0</v>
      </c>
      <c r="GM78">
        <f t="shared" si="92"/>
        <v>13825.5</v>
      </c>
      <c r="GN78">
        <f t="shared" si="93"/>
        <v>0</v>
      </c>
      <c r="GO78">
        <f t="shared" si="94"/>
        <v>0</v>
      </c>
      <c r="GP78">
        <f t="shared" si="95"/>
        <v>13825.5</v>
      </c>
      <c r="GR78">
        <v>0</v>
      </c>
      <c r="GS78">
        <v>3</v>
      </c>
      <c r="GT78">
        <v>0</v>
      </c>
      <c r="GU78" t="s">
        <v>3</v>
      </c>
      <c r="GV78">
        <f t="shared" si="96"/>
        <v>0</v>
      </c>
      <c r="GW78">
        <v>1</v>
      </c>
      <c r="GX78">
        <f t="shared" si="97"/>
        <v>0</v>
      </c>
      <c r="HA78">
        <v>0</v>
      </c>
      <c r="HB78">
        <v>0</v>
      </c>
      <c r="HC78">
        <f t="shared" si="98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HS78">
        <v>0</v>
      </c>
      <c r="IK78">
        <v>0</v>
      </c>
    </row>
    <row r="79" spans="1:245" x14ac:dyDescent="0.2">
      <c r="A79">
        <v>18</v>
      </c>
      <c r="B79">
        <v>1</v>
      </c>
      <c r="C79">
        <v>71</v>
      </c>
      <c r="E79" t="s">
        <v>173</v>
      </c>
      <c r="F79" t="s">
        <v>152</v>
      </c>
      <c r="G79" t="s">
        <v>153</v>
      </c>
      <c r="H79" t="s">
        <v>154</v>
      </c>
      <c r="I79">
        <f>I74*J79</f>
        <v>130</v>
      </c>
      <c r="J79">
        <v>200</v>
      </c>
      <c r="K79">
        <v>200</v>
      </c>
      <c r="O79">
        <f t="shared" si="60"/>
        <v>1005915.3</v>
      </c>
      <c r="P79">
        <f t="shared" si="61"/>
        <v>1005915.3</v>
      </c>
      <c r="Q79">
        <f t="shared" si="62"/>
        <v>0</v>
      </c>
      <c r="R79">
        <f t="shared" si="63"/>
        <v>0</v>
      </c>
      <c r="S79">
        <f t="shared" si="64"/>
        <v>0</v>
      </c>
      <c r="T79">
        <f t="shared" si="65"/>
        <v>0</v>
      </c>
      <c r="U79">
        <f t="shared" si="66"/>
        <v>0</v>
      </c>
      <c r="V79">
        <f t="shared" si="67"/>
        <v>0</v>
      </c>
      <c r="W79">
        <f t="shared" si="68"/>
        <v>0</v>
      </c>
      <c r="X79">
        <f t="shared" si="69"/>
        <v>0</v>
      </c>
      <c r="Y79">
        <f t="shared" si="70"/>
        <v>0</v>
      </c>
      <c r="AA79">
        <v>81141517</v>
      </c>
      <c r="AB79">
        <f t="shared" si="71"/>
        <v>7737.81</v>
      </c>
      <c r="AC79">
        <f t="shared" si="72"/>
        <v>7737.81</v>
      </c>
      <c r="AD79">
        <f t="shared" si="73"/>
        <v>0</v>
      </c>
      <c r="AE79">
        <f t="shared" si="74"/>
        <v>0</v>
      </c>
      <c r="AF79">
        <f t="shared" si="75"/>
        <v>0</v>
      </c>
      <c r="AG79">
        <f t="shared" si="76"/>
        <v>0</v>
      </c>
      <c r="AH79">
        <f t="shared" si="77"/>
        <v>0</v>
      </c>
      <c r="AI79">
        <f t="shared" si="78"/>
        <v>0</v>
      </c>
      <c r="AJ79">
        <f t="shared" si="79"/>
        <v>0</v>
      </c>
      <c r="AK79">
        <v>7737.81</v>
      </c>
      <c r="AL79">
        <v>7737.81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3</v>
      </c>
      <c r="BI79">
        <v>4</v>
      </c>
      <c r="BJ79" t="s">
        <v>155</v>
      </c>
      <c r="BM79">
        <v>0</v>
      </c>
      <c r="BN79">
        <v>0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80"/>
        <v>1005915.3</v>
      </c>
      <c r="CQ79">
        <f t="shared" si="81"/>
        <v>7737.81</v>
      </c>
      <c r="CR79">
        <f t="shared" si="82"/>
        <v>0</v>
      </c>
      <c r="CS79">
        <f t="shared" si="83"/>
        <v>0</v>
      </c>
      <c r="CT79">
        <f t="shared" si="84"/>
        <v>0</v>
      </c>
      <c r="CU79">
        <f t="shared" si="85"/>
        <v>0</v>
      </c>
      <c r="CV79">
        <f t="shared" si="86"/>
        <v>0</v>
      </c>
      <c r="CW79">
        <f t="shared" si="87"/>
        <v>0</v>
      </c>
      <c r="CX79">
        <f t="shared" si="88"/>
        <v>0</v>
      </c>
      <c r="CY79">
        <f t="shared" si="89"/>
        <v>0</v>
      </c>
      <c r="CZ79">
        <f t="shared" si="90"/>
        <v>0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1013</v>
      </c>
      <c r="DV79" t="s">
        <v>154</v>
      </c>
      <c r="DW79" t="s">
        <v>154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80196140</v>
      </c>
      <c r="EF79">
        <v>1</v>
      </c>
      <c r="EG79" t="s">
        <v>20</v>
      </c>
      <c r="EH79">
        <v>0</v>
      </c>
      <c r="EI79" t="s">
        <v>3</v>
      </c>
      <c r="EJ79">
        <v>4</v>
      </c>
      <c r="EK79">
        <v>0</v>
      </c>
      <c r="EL79" t="s">
        <v>21</v>
      </c>
      <c r="EM79" t="s">
        <v>22</v>
      </c>
      <c r="EO79" t="s">
        <v>3</v>
      </c>
      <c r="EQ79">
        <v>0</v>
      </c>
      <c r="ER79">
        <v>7737.81</v>
      </c>
      <c r="ES79">
        <v>7737.81</v>
      </c>
      <c r="ET79">
        <v>0</v>
      </c>
      <c r="EU79">
        <v>0</v>
      </c>
      <c r="EV79">
        <v>0</v>
      </c>
      <c r="EW79">
        <v>0</v>
      </c>
      <c r="EX79">
        <v>0</v>
      </c>
      <c r="FQ79">
        <v>0</v>
      </c>
      <c r="FR79"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1806748537</v>
      </c>
      <c r="GG79">
        <v>2</v>
      </c>
      <c r="GH79">
        <v>1</v>
      </c>
      <c r="GI79">
        <v>-2</v>
      </c>
      <c r="GJ79">
        <v>0</v>
      </c>
      <c r="GK79">
        <f>ROUND(R79*(R12)/100,2)</f>
        <v>0</v>
      </c>
      <c r="GL79">
        <f t="shared" si="91"/>
        <v>0</v>
      </c>
      <c r="GM79">
        <f t="shared" si="92"/>
        <v>1005915.3</v>
      </c>
      <c r="GN79">
        <f t="shared" si="93"/>
        <v>0</v>
      </c>
      <c r="GO79">
        <f t="shared" si="94"/>
        <v>0</v>
      </c>
      <c r="GP79">
        <f t="shared" si="95"/>
        <v>1005915.3</v>
      </c>
      <c r="GR79">
        <v>0</v>
      </c>
      <c r="GS79">
        <v>3</v>
      </c>
      <c r="GT79">
        <v>0</v>
      </c>
      <c r="GU79" t="s">
        <v>3</v>
      </c>
      <c r="GV79">
        <f t="shared" si="96"/>
        <v>0</v>
      </c>
      <c r="GW79">
        <v>1</v>
      </c>
      <c r="GX79">
        <f t="shared" si="97"/>
        <v>0</v>
      </c>
      <c r="HA79">
        <v>0</v>
      </c>
      <c r="HB79">
        <v>0</v>
      </c>
      <c r="HC79">
        <f t="shared" si="98"/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HS79">
        <v>0</v>
      </c>
      <c r="IK79">
        <v>0</v>
      </c>
    </row>
    <row r="80" spans="1:245" x14ac:dyDescent="0.2">
      <c r="A80">
        <v>18</v>
      </c>
      <c r="B80">
        <v>1</v>
      </c>
      <c r="C80">
        <v>76</v>
      </c>
      <c r="E80" t="s">
        <v>174</v>
      </c>
      <c r="F80" t="s">
        <v>24</v>
      </c>
      <c r="G80" t="s">
        <v>175</v>
      </c>
      <c r="H80" t="s">
        <v>18</v>
      </c>
      <c r="I80">
        <f>I74*J80</f>
        <v>65</v>
      </c>
      <c r="J80">
        <v>100</v>
      </c>
      <c r="K80">
        <v>100</v>
      </c>
      <c r="O80">
        <f t="shared" si="60"/>
        <v>319019.34999999998</v>
      </c>
      <c r="P80">
        <f t="shared" si="61"/>
        <v>319019.34999999998</v>
      </c>
      <c r="Q80">
        <f t="shared" si="62"/>
        <v>0</v>
      </c>
      <c r="R80">
        <f t="shared" si="63"/>
        <v>0</v>
      </c>
      <c r="S80">
        <f t="shared" si="64"/>
        <v>0</v>
      </c>
      <c r="T80">
        <f t="shared" si="65"/>
        <v>0</v>
      </c>
      <c r="U80">
        <f t="shared" si="66"/>
        <v>0</v>
      </c>
      <c r="V80">
        <f t="shared" si="67"/>
        <v>0</v>
      </c>
      <c r="W80">
        <f t="shared" si="68"/>
        <v>0</v>
      </c>
      <c r="X80">
        <f t="shared" si="69"/>
        <v>0</v>
      </c>
      <c r="Y80">
        <f t="shared" si="70"/>
        <v>0</v>
      </c>
      <c r="AA80">
        <v>81141517</v>
      </c>
      <c r="AB80">
        <f t="shared" si="71"/>
        <v>4907.99</v>
      </c>
      <c r="AC80">
        <f t="shared" si="72"/>
        <v>4907.99</v>
      </c>
      <c r="AD80">
        <f t="shared" si="73"/>
        <v>0</v>
      </c>
      <c r="AE80">
        <f t="shared" si="74"/>
        <v>0</v>
      </c>
      <c r="AF80">
        <f t="shared" si="75"/>
        <v>0</v>
      </c>
      <c r="AG80">
        <f t="shared" si="76"/>
        <v>0</v>
      </c>
      <c r="AH80">
        <f t="shared" si="77"/>
        <v>0</v>
      </c>
      <c r="AI80">
        <f t="shared" si="78"/>
        <v>0</v>
      </c>
      <c r="AJ80">
        <f t="shared" si="79"/>
        <v>0</v>
      </c>
      <c r="AK80">
        <v>4907.99</v>
      </c>
      <c r="AL80">
        <v>4907.99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3</v>
      </c>
      <c r="BI80">
        <v>4</v>
      </c>
      <c r="BJ80" t="s">
        <v>3</v>
      </c>
      <c r="BM80">
        <v>0</v>
      </c>
      <c r="BN80">
        <v>0</v>
      </c>
      <c r="BO80" t="s">
        <v>3</v>
      </c>
      <c r="BP80">
        <v>0</v>
      </c>
      <c r="BQ80">
        <v>1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80"/>
        <v>319019.34999999998</v>
      </c>
      <c r="CQ80">
        <f t="shared" si="81"/>
        <v>4907.99</v>
      </c>
      <c r="CR80">
        <f t="shared" si="82"/>
        <v>0</v>
      </c>
      <c r="CS80">
        <f t="shared" si="83"/>
        <v>0</v>
      </c>
      <c r="CT80">
        <f t="shared" si="84"/>
        <v>0</v>
      </c>
      <c r="CU80">
        <f t="shared" si="85"/>
        <v>0</v>
      </c>
      <c r="CV80">
        <f t="shared" si="86"/>
        <v>0</v>
      </c>
      <c r="CW80">
        <f t="shared" si="87"/>
        <v>0</v>
      </c>
      <c r="CX80">
        <f t="shared" si="88"/>
        <v>0</v>
      </c>
      <c r="CY80">
        <f t="shared" si="89"/>
        <v>0</v>
      </c>
      <c r="CZ80">
        <f t="shared" si="90"/>
        <v>0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1010</v>
      </c>
      <c r="DV80" t="s">
        <v>18</v>
      </c>
      <c r="DW80" t="s">
        <v>18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80196140</v>
      </c>
      <c r="EF80">
        <v>1</v>
      </c>
      <c r="EG80" t="s">
        <v>20</v>
      </c>
      <c r="EH80">
        <v>0</v>
      </c>
      <c r="EI80" t="s">
        <v>3</v>
      </c>
      <c r="EJ80">
        <v>4</v>
      </c>
      <c r="EK80">
        <v>0</v>
      </c>
      <c r="EL80" t="s">
        <v>21</v>
      </c>
      <c r="EM80" t="s">
        <v>22</v>
      </c>
      <c r="EO80" t="s">
        <v>3</v>
      </c>
      <c r="EQ80">
        <v>0</v>
      </c>
      <c r="ER80">
        <v>4907.99</v>
      </c>
      <c r="ES80">
        <v>4907.99</v>
      </c>
      <c r="ET80">
        <v>0</v>
      </c>
      <c r="EU80">
        <v>0</v>
      </c>
      <c r="EV80">
        <v>0</v>
      </c>
      <c r="EW80">
        <v>0</v>
      </c>
      <c r="EX80">
        <v>0</v>
      </c>
      <c r="EZ80">
        <v>5</v>
      </c>
      <c r="FC80">
        <v>1</v>
      </c>
      <c r="FD80">
        <v>18</v>
      </c>
      <c r="FF80">
        <v>5889.59</v>
      </c>
      <c r="FQ80">
        <v>0</v>
      </c>
      <c r="FR80">
        <v>0</v>
      </c>
      <c r="FS80">
        <v>0</v>
      </c>
      <c r="FX80">
        <v>70</v>
      </c>
      <c r="FY80">
        <v>10</v>
      </c>
      <c r="GA80" t="s">
        <v>176</v>
      </c>
      <c r="GD80">
        <v>0</v>
      </c>
      <c r="GF80">
        <v>-378601777</v>
      </c>
      <c r="GG80">
        <v>2</v>
      </c>
      <c r="GH80">
        <v>3</v>
      </c>
      <c r="GI80">
        <v>-2</v>
      </c>
      <c r="GJ80">
        <v>0</v>
      </c>
      <c r="GK80">
        <f>ROUND(R80*(R12)/100,2)</f>
        <v>0</v>
      </c>
      <c r="GL80">
        <f t="shared" si="91"/>
        <v>0</v>
      </c>
      <c r="GM80">
        <f t="shared" si="92"/>
        <v>319019.34999999998</v>
      </c>
      <c r="GN80">
        <f t="shared" si="93"/>
        <v>0</v>
      </c>
      <c r="GO80">
        <f t="shared" si="94"/>
        <v>0</v>
      </c>
      <c r="GP80">
        <f t="shared" si="95"/>
        <v>319019.34999999998</v>
      </c>
      <c r="GR80">
        <v>1</v>
      </c>
      <c r="GS80">
        <v>1</v>
      </c>
      <c r="GT80">
        <v>0</v>
      </c>
      <c r="GU80" t="s">
        <v>3</v>
      </c>
      <c r="GV80">
        <f t="shared" si="96"/>
        <v>0</v>
      </c>
      <c r="GW80">
        <v>1</v>
      </c>
      <c r="GX80">
        <f t="shared" si="97"/>
        <v>0</v>
      </c>
      <c r="HA80">
        <v>0</v>
      </c>
      <c r="HB80">
        <v>0</v>
      </c>
      <c r="HC80">
        <f t="shared" si="98"/>
        <v>0</v>
      </c>
      <c r="HE80" t="s">
        <v>27</v>
      </c>
      <c r="HF80" t="s">
        <v>27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HS80">
        <v>0</v>
      </c>
      <c r="IK80">
        <v>0</v>
      </c>
    </row>
    <row r="81" spans="1:245" x14ac:dyDescent="0.2">
      <c r="A81">
        <v>17</v>
      </c>
      <c r="B81">
        <v>1</v>
      </c>
      <c r="C81">
        <f>ROW(SmtRes!A79)</f>
        <v>79</v>
      </c>
      <c r="D81">
        <f>ROW(EtalonRes!A40)</f>
        <v>40</v>
      </c>
      <c r="E81" t="s">
        <v>177</v>
      </c>
      <c r="F81" t="s">
        <v>16</v>
      </c>
      <c r="G81" t="s">
        <v>17</v>
      </c>
      <c r="H81" t="s">
        <v>18</v>
      </c>
      <c r="I81">
        <v>8</v>
      </c>
      <c r="J81">
        <v>0</v>
      </c>
      <c r="K81">
        <v>8</v>
      </c>
      <c r="O81">
        <f t="shared" si="60"/>
        <v>14952.08</v>
      </c>
      <c r="P81">
        <f t="shared" si="61"/>
        <v>0</v>
      </c>
      <c r="Q81">
        <f t="shared" si="62"/>
        <v>2895.04</v>
      </c>
      <c r="R81">
        <f t="shared" si="63"/>
        <v>8.9600000000000009</v>
      </c>
      <c r="S81">
        <f t="shared" si="64"/>
        <v>12057.04</v>
      </c>
      <c r="T81">
        <f t="shared" si="65"/>
        <v>0</v>
      </c>
      <c r="U81">
        <f t="shared" si="66"/>
        <v>18.96</v>
      </c>
      <c r="V81">
        <f t="shared" si="67"/>
        <v>0</v>
      </c>
      <c r="W81">
        <f t="shared" si="68"/>
        <v>0</v>
      </c>
      <c r="X81">
        <f t="shared" si="69"/>
        <v>8439.93</v>
      </c>
      <c r="Y81">
        <f t="shared" si="70"/>
        <v>1205.7</v>
      </c>
      <c r="AA81">
        <v>81141517</v>
      </c>
      <c r="AB81">
        <f t="shared" si="71"/>
        <v>1869.01</v>
      </c>
      <c r="AC81">
        <f t="shared" si="72"/>
        <v>0</v>
      </c>
      <c r="AD81">
        <f t="shared" si="73"/>
        <v>361.88</v>
      </c>
      <c r="AE81">
        <f t="shared" si="74"/>
        <v>1.1200000000000001</v>
      </c>
      <c r="AF81">
        <f t="shared" si="75"/>
        <v>1507.13</v>
      </c>
      <c r="AG81">
        <f t="shared" si="76"/>
        <v>0</v>
      </c>
      <c r="AH81">
        <f t="shared" si="77"/>
        <v>2.37</v>
      </c>
      <c r="AI81">
        <f t="shared" si="78"/>
        <v>0</v>
      </c>
      <c r="AJ81">
        <f t="shared" si="79"/>
        <v>0</v>
      </c>
      <c r="AK81">
        <v>1869.01</v>
      </c>
      <c r="AL81">
        <v>0</v>
      </c>
      <c r="AM81">
        <v>361.88</v>
      </c>
      <c r="AN81">
        <v>1.1200000000000001</v>
      </c>
      <c r="AO81">
        <v>1507.13</v>
      </c>
      <c r="AP81">
        <v>0</v>
      </c>
      <c r="AQ81">
        <v>2.37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19</v>
      </c>
      <c r="BM81">
        <v>0</v>
      </c>
      <c r="BN81">
        <v>0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80"/>
        <v>14952.080000000002</v>
      </c>
      <c r="CQ81">
        <f t="shared" si="81"/>
        <v>0</v>
      </c>
      <c r="CR81">
        <f t="shared" si="82"/>
        <v>361.88</v>
      </c>
      <c r="CS81">
        <f t="shared" si="83"/>
        <v>1.1200000000000001</v>
      </c>
      <c r="CT81">
        <f t="shared" si="84"/>
        <v>1507.13</v>
      </c>
      <c r="CU81">
        <f t="shared" si="85"/>
        <v>0</v>
      </c>
      <c r="CV81">
        <f t="shared" si="86"/>
        <v>2.37</v>
      </c>
      <c r="CW81">
        <f t="shared" si="87"/>
        <v>0</v>
      </c>
      <c r="CX81">
        <f t="shared" si="88"/>
        <v>0</v>
      </c>
      <c r="CY81">
        <f t="shared" si="89"/>
        <v>8439.9279999999999</v>
      </c>
      <c r="CZ81">
        <f t="shared" si="90"/>
        <v>1205.7040000000002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1010</v>
      </c>
      <c r="DV81" t="s">
        <v>18</v>
      </c>
      <c r="DW81" t="s">
        <v>18</v>
      </c>
      <c r="DX81">
        <v>1</v>
      </c>
      <c r="DZ81" t="s">
        <v>3</v>
      </c>
      <c r="EA81" t="s">
        <v>3</v>
      </c>
      <c r="EB81" t="s">
        <v>3</v>
      </c>
      <c r="EC81" t="s">
        <v>3</v>
      </c>
      <c r="EE81">
        <v>80196140</v>
      </c>
      <c r="EF81">
        <v>1</v>
      </c>
      <c r="EG81" t="s">
        <v>20</v>
      </c>
      <c r="EH81">
        <v>0</v>
      </c>
      <c r="EI81" t="s">
        <v>3</v>
      </c>
      <c r="EJ81">
        <v>4</v>
      </c>
      <c r="EK81">
        <v>0</v>
      </c>
      <c r="EL81" t="s">
        <v>21</v>
      </c>
      <c r="EM81" t="s">
        <v>22</v>
      </c>
      <c r="EO81" t="s">
        <v>3</v>
      </c>
      <c r="EQ81">
        <v>0</v>
      </c>
      <c r="ER81">
        <v>1869.01</v>
      </c>
      <c r="ES81">
        <v>0</v>
      </c>
      <c r="ET81">
        <v>361.88</v>
      </c>
      <c r="EU81">
        <v>1.1200000000000001</v>
      </c>
      <c r="EV81">
        <v>1507.13</v>
      </c>
      <c r="EW81">
        <v>2.37</v>
      </c>
      <c r="EX81">
        <v>0</v>
      </c>
      <c r="EY81">
        <v>0</v>
      </c>
      <c r="FQ81">
        <v>0</v>
      </c>
      <c r="FR81"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1094451298</v>
      </c>
      <c r="GG81">
        <v>2</v>
      </c>
      <c r="GH81">
        <v>1</v>
      </c>
      <c r="GI81">
        <v>-2</v>
      </c>
      <c r="GJ81">
        <v>0</v>
      </c>
      <c r="GK81">
        <f>ROUND(R81*(R12)/100,2)</f>
        <v>9.68</v>
      </c>
      <c r="GL81">
        <f t="shared" si="91"/>
        <v>0</v>
      </c>
      <c r="GM81">
        <f t="shared" si="92"/>
        <v>24607.39</v>
      </c>
      <c r="GN81">
        <f t="shared" si="93"/>
        <v>0</v>
      </c>
      <c r="GO81">
        <f t="shared" si="94"/>
        <v>0</v>
      </c>
      <c r="GP81">
        <f t="shared" si="95"/>
        <v>24607.39</v>
      </c>
      <c r="GR81">
        <v>0</v>
      </c>
      <c r="GS81">
        <v>3</v>
      </c>
      <c r="GT81">
        <v>0</v>
      </c>
      <c r="GU81" t="s">
        <v>3</v>
      </c>
      <c r="GV81">
        <f t="shared" si="96"/>
        <v>0</v>
      </c>
      <c r="GW81">
        <v>1</v>
      </c>
      <c r="GX81">
        <f t="shared" si="97"/>
        <v>0</v>
      </c>
      <c r="HA81">
        <v>0</v>
      </c>
      <c r="HB81">
        <v>0</v>
      </c>
      <c r="HC81">
        <f t="shared" si="98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HS81">
        <v>0</v>
      </c>
      <c r="IK81">
        <v>0</v>
      </c>
    </row>
    <row r="82" spans="1:245" x14ac:dyDescent="0.2">
      <c r="A82">
        <v>18</v>
      </c>
      <c r="B82">
        <v>1</v>
      </c>
      <c r="C82">
        <v>79</v>
      </c>
      <c r="E82" t="s">
        <v>178</v>
      </c>
      <c r="F82" t="s">
        <v>24</v>
      </c>
      <c r="G82" t="s">
        <v>179</v>
      </c>
      <c r="H82" t="s">
        <v>18</v>
      </c>
      <c r="I82">
        <f>I81*J82</f>
        <v>8</v>
      </c>
      <c r="J82">
        <v>1</v>
      </c>
      <c r="K82">
        <v>1</v>
      </c>
      <c r="O82">
        <f t="shared" si="60"/>
        <v>98879.84</v>
      </c>
      <c r="P82">
        <f t="shared" si="61"/>
        <v>98879.84</v>
      </c>
      <c r="Q82">
        <f t="shared" si="62"/>
        <v>0</v>
      </c>
      <c r="R82">
        <f t="shared" si="63"/>
        <v>0</v>
      </c>
      <c r="S82">
        <f t="shared" si="64"/>
        <v>0</v>
      </c>
      <c r="T82">
        <f t="shared" si="65"/>
        <v>0</v>
      </c>
      <c r="U82">
        <f t="shared" si="66"/>
        <v>0</v>
      </c>
      <c r="V82">
        <f t="shared" si="67"/>
        <v>0</v>
      </c>
      <c r="W82">
        <f t="shared" si="68"/>
        <v>0</v>
      </c>
      <c r="X82">
        <f t="shared" si="69"/>
        <v>0</v>
      </c>
      <c r="Y82">
        <f t="shared" si="70"/>
        <v>0</v>
      </c>
      <c r="AA82">
        <v>81141517</v>
      </c>
      <c r="AB82">
        <f t="shared" si="71"/>
        <v>12359.98</v>
      </c>
      <c r="AC82">
        <f t="shared" si="72"/>
        <v>12359.98</v>
      </c>
      <c r="AD82">
        <f t="shared" si="73"/>
        <v>0</v>
      </c>
      <c r="AE82">
        <f t="shared" si="74"/>
        <v>0</v>
      </c>
      <c r="AF82">
        <f t="shared" si="75"/>
        <v>0</v>
      </c>
      <c r="AG82">
        <f t="shared" si="76"/>
        <v>0</v>
      </c>
      <c r="AH82">
        <f t="shared" si="77"/>
        <v>0</v>
      </c>
      <c r="AI82">
        <f t="shared" si="78"/>
        <v>0</v>
      </c>
      <c r="AJ82">
        <f t="shared" si="79"/>
        <v>0</v>
      </c>
      <c r="AK82">
        <v>12359.98</v>
      </c>
      <c r="AL82">
        <v>12359.98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3</v>
      </c>
      <c r="BI82">
        <v>4</v>
      </c>
      <c r="BJ82" t="s">
        <v>3</v>
      </c>
      <c r="BM82">
        <v>0</v>
      </c>
      <c r="BN82">
        <v>0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80"/>
        <v>98879.84</v>
      </c>
      <c r="CQ82">
        <f t="shared" si="81"/>
        <v>12359.98</v>
      </c>
      <c r="CR82">
        <f t="shared" si="82"/>
        <v>0</v>
      </c>
      <c r="CS82">
        <f t="shared" si="83"/>
        <v>0</v>
      </c>
      <c r="CT82">
        <f t="shared" si="84"/>
        <v>0</v>
      </c>
      <c r="CU82">
        <f t="shared" si="85"/>
        <v>0</v>
      </c>
      <c r="CV82">
        <f t="shared" si="86"/>
        <v>0</v>
      </c>
      <c r="CW82">
        <f t="shared" si="87"/>
        <v>0</v>
      </c>
      <c r="CX82">
        <f t="shared" si="88"/>
        <v>0</v>
      </c>
      <c r="CY82">
        <f t="shared" si="89"/>
        <v>0</v>
      </c>
      <c r="CZ82">
        <f t="shared" si="90"/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1010</v>
      </c>
      <c r="DV82" t="s">
        <v>18</v>
      </c>
      <c r="DW82" t="s">
        <v>18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80196140</v>
      </c>
      <c r="EF82">
        <v>1</v>
      </c>
      <c r="EG82" t="s">
        <v>20</v>
      </c>
      <c r="EH82">
        <v>0</v>
      </c>
      <c r="EI82" t="s">
        <v>3</v>
      </c>
      <c r="EJ82">
        <v>4</v>
      </c>
      <c r="EK82">
        <v>0</v>
      </c>
      <c r="EL82" t="s">
        <v>21</v>
      </c>
      <c r="EM82" t="s">
        <v>22</v>
      </c>
      <c r="EO82" t="s">
        <v>3</v>
      </c>
      <c r="EQ82">
        <v>0</v>
      </c>
      <c r="ER82">
        <v>12359.98</v>
      </c>
      <c r="ES82">
        <v>12359.98</v>
      </c>
      <c r="ET82">
        <v>0</v>
      </c>
      <c r="EU82">
        <v>0</v>
      </c>
      <c r="EV82">
        <v>0</v>
      </c>
      <c r="EW82">
        <v>0</v>
      </c>
      <c r="EX82">
        <v>0</v>
      </c>
      <c r="EZ82">
        <v>5</v>
      </c>
      <c r="FC82">
        <v>1</v>
      </c>
      <c r="FD82">
        <v>18</v>
      </c>
      <c r="FF82">
        <v>14831.97</v>
      </c>
      <c r="FQ82">
        <v>0</v>
      </c>
      <c r="FR82">
        <v>0</v>
      </c>
      <c r="FS82">
        <v>0</v>
      </c>
      <c r="FX82">
        <v>70</v>
      </c>
      <c r="FY82">
        <v>10</v>
      </c>
      <c r="GA82" t="s">
        <v>180</v>
      </c>
      <c r="GD82">
        <v>0</v>
      </c>
      <c r="GF82">
        <v>1546664729</v>
      </c>
      <c r="GG82">
        <v>2</v>
      </c>
      <c r="GH82">
        <v>3</v>
      </c>
      <c r="GI82">
        <v>-2</v>
      </c>
      <c r="GJ82">
        <v>0</v>
      </c>
      <c r="GK82">
        <f>ROUND(R82*(R12)/100,2)</f>
        <v>0</v>
      </c>
      <c r="GL82">
        <f t="shared" si="91"/>
        <v>0</v>
      </c>
      <c r="GM82">
        <f t="shared" si="92"/>
        <v>98879.84</v>
      </c>
      <c r="GN82">
        <f t="shared" si="93"/>
        <v>0</v>
      </c>
      <c r="GO82">
        <f t="shared" si="94"/>
        <v>0</v>
      </c>
      <c r="GP82">
        <f t="shared" si="95"/>
        <v>98879.84</v>
      </c>
      <c r="GR82">
        <v>1</v>
      </c>
      <c r="GS82">
        <v>1</v>
      </c>
      <c r="GT82">
        <v>0</v>
      </c>
      <c r="GU82" t="s">
        <v>3</v>
      </c>
      <c r="GV82">
        <f t="shared" si="96"/>
        <v>0</v>
      </c>
      <c r="GW82">
        <v>1</v>
      </c>
      <c r="GX82">
        <f t="shared" si="97"/>
        <v>0</v>
      </c>
      <c r="HA82">
        <v>0</v>
      </c>
      <c r="HB82">
        <v>0</v>
      </c>
      <c r="HC82">
        <f t="shared" si="98"/>
        <v>0</v>
      </c>
      <c r="HE82" t="s">
        <v>27</v>
      </c>
      <c r="HF82" t="s">
        <v>27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HS82">
        <v>0</v>
      </c>
      <c r="IK82">
        <v>0</v>
      </c>
    </row>
    <row r="83" spans="1:245" x14ac:dyDescent="0.2">
      <c r="A83">
        <v>17</v>
      </c>
      <c r="B83">
        <v>1</v>
      </c>
      <c r="C83">
        <f>ROW(SmtRes!A81)</f>
        <v>81</v>
      </c>
      <c r="D83">
        <f>ROW(EtalonRes!A41)</f>
        <v>41</v>
      </c>
      <c r="E83" t="s">
        <v>181</v>
      </c>
      <c r="F83" t="s">
        <v>74</v>
      </c>
      <c r="G83" t="s">
        <v>75</v>
      </c>
      <c r="H83" t="s">
        <v>50</v>
      </c>
      <c r="I83">
        <f>ROUND(300/100,9)</f>
        <v>3</v>
      </c>
      <c r="J83">
        <v>0</v>
      </c>
      <c r="K83">
        <f>ROUND(300/100,9)</f>
        <v>3</v>
      </c>
      <c r="O83">
        <f t="shared" si="60"/>
        <v>14806.59</v>
      </c>
      <c r="P83">
        <f t="shared" si="61"/>
        <v>0</v>
      </c>
      <c r="Q83">
        <f t="shared" si="62"/>
        <v>0</v>
      </c>
      <c r="R83">
        <f t="shared" si="63"/>
        <v>0</v>
      </c>
      <c r="S83">
        <f t="shared" si="64"/>
        <v>14806.59</v>
      </c>
      <c r="T83">
        <f t="shared" si="65"/>
        <v>0</v>
      </c>
      <c r="U83">
        <f t="shared" si="66"/>
        <v>24.869999999999997</v>
      </c>
      <c r="V83">
        <f t="shared" si="67"/>
        <v>0</v>
      </c>
      <c r="W83">
        <f t="shared" si="68"/>
        <v>0</v>
      </c>
      <c r="X83">
        <f t="shared" si="69"/>
        <v>10364.61</v>
      </c>
      <c r="Y83">
        <f t="shared" si="70"/>
        <v>1480.66</v>
      </c>
      <c r="AA83">
        <v>81141517</v>
      </c>
      <c r="AB83">
        <f t="shared" si="71"/>
        <v>4935.53</v>
      </c>
      <c r="AC83">
        <f t="shared" si="72"/>
        <v>0</v>
      </c>
      <c r="AD83">
        <f t="shared" si="73"/>
        <v>0</v>
      </c>
      <c r="AE83">
        <f t="shared" si="74"/>
        <v>0</v>
      </c>
      <c r="AF83">
        <f t="shared" si="75"/>
        <v>4935.53</v>
      </c>
      <c r="AG83">
        <f t="shared" si="76"/>
        <v>0</v>
      </c>
      <c r="AH83">
        <f t="shared" si="77"/>
        <v>8.2899999999999991</v>
      </c>
      <c r="AI83">
        <f t="shared" si="78"/>
        <v>0</v>
      </c>
      <c r="AJ83">
        <f t="shared" si="79"/>
        <v>0</v>
      </c>
      <c r="AK83">
        <v>4935.53</v>
      </c>
      <c r="AL83">
        <v>0</v>
      </c>
      <c r="AM83">
        <v>0</v>
      </c>
      <c r="AN83">
        <v>0</v>
      </c>
      <c r="AO83">
        <v>4935.53</v>
      </c>
      <c r="AP83">
        <v>0</v>
      </c>
      <c r="AQ83">
        <v>8.2899999999999991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76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80"/>
        <v>14806.59</v>
      </c>
      <c r="CQ83">
        <f t="shared" si="81"/>
        <v>0</v>
      </c>
      <c r="CR83">
        <f t="shared" si="82"/>
        <v>0</v>
      </c>
      <c r="CS83">
        <f t="shared" si="83"/>
        <v>0</v>
      </c>
      <c r="CT83">
        <f t="shared" si="84"/>
        <v>4935.53</v>
      </c>
      <c r="CU83">
        <f t="shared" si="85"/>
        <v>0</v>
      </c>
      <c r="CV83">
        <f t="shared" si="86"/>
        <v>8.2899999999999991</v>
      </c>
      <c r="CW83">
        <f t="shared" si="87"/>
        <v>0</v>
      </c>
      <c r="CX83">
        <f t="shared" si="88"/>
        <v>0</v>
      </c>
      <c r="CY83">
        <f t="shared" si="89"/>
        <v>10364.613000000001</v>
      </c>
      <c r="CZ83">
        <f t="shared" si="90"/>
        <v>1480.6589999999999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1003</v>
      </c>
      <c r="DV83" t="s">
        <v>50</v>
      </c>
      <c r="DW83" t="s">
        <v>50</v>
      </c>
      <c r="DX83">
        <v>100</v>
      </c>
      <c r="DZ83" t="s">
        <v>3</v>
      </c>
      <c r="EA83" t="s">
        <v>3</v>
      </c>
      <c r="EB83" t="s">
        <v>3</v>
      </c>
      <c r="EC83" t="s">
        <v>3</v>
      </c>
      <c r="EE83">
        <v>80196140</v>
      </c>
      <c r="EF83">
        <v>1</v>
      </c>
      <c r="EG83" t="s">
        <v>20</v>
      </c>
      <c r="EH83">
        <v>0</v>
      </c>
      <c r="EI83" t="s">
        <v>3</v>
      </c>
      <c r="EJ83">
        <v>4</v>
      </c>
      <c r="EK83">
        <v>0</v>
      </c>
      <c r="EL83" t="s">
        <v>21</v>
      </c>
      <c r="EM83" t="s">
        <v>22</v>
      </c>
      <c r="EO83" t="s">
        <v>3</v>
      </c>
      <c r="EQ83">
        <v>0</v>
      </c>
      <c r="ER83">
        <v>4935.53</v>
      </c>
      <c r="ES83">
        <v>0</v>
      </c>
      <c r="ET83">
        <v>0</v>
      </c>
      <c r="EU83">
        <v>0</v>
      </c>
      <c r="EV83">
        <v>4935.53</v>
      </c>
      <c r="EW83">
        <v>8.2899999999999991</v>
      </c>
      <c r="EX83">
        <v>0</v>
      </c>
      <c r="EY83">
        <v>0</v>
      </c>
      <c r="FQ83">
        <v>0</v>
      </c>
      <c r="FR83"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204190657</v>
      </c>
      <c r="GG83">
        <v>2</v>
      </c>
      <c r="GH83">
        <v>1</v>
      </c>
      <c r="GI83">
        <v>-2</v>
      </c>
      <c r="GJ83">
        <v>0</v>
      </c>
      <c r="GK83">
        <f>ROUND(R83*(R12)/100,2)</f>
        <v>0</v>
      </c>
      <c r="GL83">
        <f t="shared" si="91"/>
        <v>0</v>
      </c>
      <c r="GM83">
        <f t="shared" si="92"/>
        <v>26651.86</v>
      </c>
      <c r="GN83">
        <f t="shared" si="93"/>
        <v>0</v>
      </c>
      <c r="GO83">
        <f t="shared" si="94"/>
        <v>0</v>
      </c>
      <c r="GP83">
        <f t="shared" si="95"/>
        <v>26651.86</v>
      </c>
      <c r="GR83">
        <v>0</v>
      </c>
      <c r="GS83">
        <v>3</v>
      </c>
      <c r="GT83">
        <v>0</v>
      </c>
      <c r="GU83" t="s">
        <v>3</v>
      </c>
      <c r="GV83">
        <f t="shared" si="96"/>
        <v>0</v>
      </c>
      <c r="GW83">
        <v>1</v>
      </c>
      <c r="GX83">
        <f t="shared" si="97"/>
        <v>0</v>
      </c>
      <c r="HA83">
        <v>0</v>
      </c>
      <c r="HB83">
        <v>0</v>
      </c>
      <c r="HC83">
        <f t="shared" si="98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HS83">
        <v>0</v>
      </c>
      <c r="IK83">
        <v>0</v>
      </c>
    </row>
    <row r="84" spans="1:245" x14ac:dyDescent="0.2">
      <c r="A84">
        <v>18</v>
      </c>
      <c r="B84">
        <v>1</v>
      </c>
      <c r="C84">
        <v>81</v>
      </c>
      <c r="E84" t="s">
        <v>182</v>
      </c>
      <c r="F84" t="s">
        <v>24</v>
      </c>
      <c r="G84" t="s">
        <v>183</v>
      </c>
      <c r="H84" t="s">
        <v>59</v>
      </c>
      <c r="I84">
        <f>I83*J84</f>
        <v>3</v>
      </c>
      <c r="J84">
        <v>1</v>
      </c>
      <c r="K84">
        <v>1</v>
      </c>
      <c r="O84">
        <f t="shared" si="60"/>
        <v>49130.94</v>
      </c>
      <c r="P84">
        <f t="shared" si="61"/>
        <v>49130.94</v>
      </c>
      <c r="Q84">
        <f t="shared" si="62"/>
        <v>0</v>
      </c>
      <c r="R84">
        <f t="shared" si="63"/>
        <v>0</v>
      </c>
      <c r="S84">
        <f t="shared" si="64"/>
        <v>0</v>
      </c>
      <c r="T84">
        <f t="shared" si="65"/>
        <v>0</v>
      </c>
      <c r="U84">
        <f t="shared" si="66"/>
        <v>0</v>
      </c>
      <c r="V84">
        <f t="shared" si="67"/>
        <v>0</v>
      </c>
      <c r="W84">
        <f t="shared" si="68"/>
        <v>0</v>
      </c>
      <c r="X84">
        <f t="shared" si="69"/>
        <v>0</v>
      </c>
      <c r="Y84">
        <f t="shared" si="70"/>
        <v>0</v>
      </c>
      <c r="AA84">
        <v>81141517</v>
      </c>
      <c r="AB84">
        <f t="shared" si="71"/>
        <v>16376.98</v>
      </c>
      <c r="AC84">
        <f t="shared" si="72"/>
        <v>16376.98</v>
      </c>
      <c r="AD84">
        <f t="shared" si="73"/>
        <v>0</v>
      </c>
      <c r="AE84">
        <f t="shared" si="74"/>
        <v>0</v>
      </c>
      <c r="AF84">
        <f t="shared" si="75"/>
        <v>0</v>
      </c>
      <c r="AG84">
        <f t="shared" si="76"/>
        <v>0</v>
      </c>
      <c r="AH84">
        <f t="shared" si="77"/>
        <v>0</v>
      </c>
      <c r="AI84">
        <f t="shared" si="78"/>
        <v>0</v>
      </c>
      <c r="AJ84">
        <f t="shared" si="79"/>
        <v>0</v>
      </c>
      <c r="AK84">
        <v>16376.98</v>
      </c>
      <c r="AL84">
        <v>16376.98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3</v>
      </c>
      <c r="BI84">
        <v>4</v>
      </c>
      <c r="BJ84" t="s">
        <v>3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80"/>
        <v>49130.94</v>
      </c>
      <c r="CQ84">
        <f t="shared" si="81"/>
        <v>16376.98</v>
      </c>
      <c r="CR84">
        <f t="shared" si="82"/>
        <v>0</v>
      </c>
      <c r="CS84">
        <f t="shared" si="83"/>
        <v>0</v>
      </c>
      <c r="CT84">
        <f t="shared" si="84"/>
        <v>0</v>
      </c>
      <c r="CU84">
        <f t="shared" si="85"/>
        <v>0</v>
      </c>
      <c r="CV84">
        <f t="shared" si="86"/>
        <v>0</v>
      </c>
      <c r="CW84">
        <f t="shared" si="87"/>
        <v>0</v>
      </c>
      <c r="CX84">
        <f t="shared" si="88"/>
        <v>0</v>
      </c>
      <c r="CY84">
        <f t="shared" si="89"/>
        <v>0</v>
      </c>
      <c r="CZ84">
        <f t="shared" si="90"/>
        <v>0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1013</v>
      </c>
      <c r="DV84" t="s">
        <v>59</v>
      </c>
      <c r="DW84" t="s">
        <v>59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80196140</v>
      </c>
      <c r="EF84">
        <v>1</v>
      </c>
      <c r="EG84" t="s">
        <v>20</v>
      </c>
      <c r="EH84">
        <v>0</v>
      </c>
      <c r="EI84" t="s">
        <v>3</v>
      </c>
      <c r="EJ84">
        <v>4</v>
      </c>
      <c r="EK84">
        <v>0</v>
      </c>
      <c r="EL84" t="s">
        <v>21</v>
      </c>
      <c r="EM84" t="s">
        <v>22</v>
      </c>
      <c r="EO84" t="s">
        <v>3</v>
      </c>
      <c r="EQ84">
        <v>0</v>
      </c>
      <c r="ER84">
        <v>16376.98</v>
      </c>
      <c r="ES84">
        <v>16376.98</v>
      </c>
      <c r="ET84">
        <v>0</v>
      </c>
      <c r="EU84">
        <v>0</v>
      </c>
      <c r="EV84">
        <v>0</v>
      </c>
      <c r="EW84">
        <v>0</v>
      </c>
      <c r="EX84">
        <v>0</v>
      </c>
      <c r="EZ84">
        <v>5</v>
      </c>
      <c r="FC84">
        <v>1</v>
      </c>
      <c r="FD84">
        <v>18</v>
      </c>
      <c r="FF84">
        <v>19652.37</v>
      </c>
      <c r="FQ84">
        <v>0</v>
      </c>
      <c r="FR84">
        <v>0</v>
      </c>
      <c r="FS84">
        <v>0</v>
      </c>
      <c r="FX84">
        <v>70</v>
      </c>
      <c r="FY84">
        <v>10</v>
      </c>
      <c r="GA84" t="s">
        <v>184</v>
      </c>
      <c r="GD84">
        <v>0</v>
      </c>
      <c r="GF84">
        <v>858739744</v>
      </c>
      <c r="GG84">
        <v>2</v>
      </c>
      <c r="GH84">
        <v>3</v>
      </c>
      <c r="GI84">
        <v>-2</v>
      </c>
      <c r="GJ84">
        <v>0</v>
      </c>
      <c r="GK84">
        <f>ROUND(R84*(R12)/100,2)</f>
        <v>0</v>
      </c>
      <c r="GL84">
        <f t="shared" si="91"/>
        <v>0</v>
      </c>
      <c r="GM84">
        <f t="shared" si="92"/>
        <v>49130.94</v>
      </c>
      <c r="GN84">
        <f t="shared" si="93"/>
        <v>0</v>
      </c>
      <c r="GO84">
        <f t="shared" si="94"/>
        <v>0</v>
      </c>
      <c r="GP84">
        <f t="shared" si="95"/>
        <v>49130.94</v>
      </c>
      <c r="GR84">
        <v>1</v>
      </c>
      <c r="GS84">
        <v>1</v>
      </c>
      <c r="GT84">
        <v>0</v>
      </c>
      <c r="GU84" t="s">
        <v>3</v>
      </c>
      <c r="GV84">
        <f t="shared" si="96"/>
        <v>0</v>
      </c>
      <c r="GW84">
        <v>1</v>
      </c>
      <c r="GX84">
        <f t="shared" si="97"/>
        <v>0</v>
      </c>
      <c r="HA84">
        <v>0</v>
      </c>
      <c r="HB84">
        <v>0</v>
      </c>
      <c r="HC84">
        <f t="shared" si="98"/>
        <v>0</v>
      </c>
      <c r="HE84" t="s">
        <v>27</v>
      </c>
      <c r="HF84" t="s">
        <v>27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HS84">
        <v>0</v>
      </c>
      <c r="IK84">
        <v>0</v>
      </c>
    </row>
    <row r="86" spans="1:245" x14ac:dyDescent="0.2">
      <c r="A86" s="2">
        <v>51</v>
      </c>
      <c r="B86" s="2">
        <f>B24</f>
        <v>1</v>
      </c>
      <c r="C86" s="2">
        <f>A24</f>
        <v>4</v>
      </c>
      <c r="D86" s="2">
        <f>ROW(A24)</f>
        <v>24</v>
      </c>
      <c r="E86" s="2"/>
      <c r="F86" s="2" t="str">
        <f>IF(F24&lt;&gt;"",F24,"")</f>
        <v>Новый раздел</v>
      </c>
      <c r="G86" s="2" t="str">
        <f>IF(G24&lt;&gt;"",G24,"")</f>
        <v>Электромонтажные работы</v>
      </c>
      <c r="H86" s="2">
        <v>0</v>
      </c>
      <c r="I86" s="2"/>
      <c r="J86" s="2"/>
      <c r="K86" s="2"/>
      <c r="L86" s="2"/>
      <c r="M86" s="2"/>
      <c r="N86" s="2"/>
      <c r="O86" s="2">
        <f t="shared" ref="O86:T86" si="99">ROUND(AB86,2)</f>
        <v>7260116.0800000001</v>
      </c>
      <c r="P86" s="2">
        <f t="shared" si="99"/>
        <v>6013912.25</v>
      </c>
      <c r="Q86" s="2">
        <f t="shared" si="99"/>
        <v>359742.61</v>
      </c>
      <c r="R86" s="2">
        <f t="shared" si="99"/>
        <v>174744.13</v>
      </c>
      <c r="S86" s="2">
        <f t="shared" si="99"/>
        <v>886461.22</v>
      </c>
      <c r="T86" s="2">
        <f t="shared" si="99"/>
        <v>0</v>
      </c>
      <c r="U86" s="2">
        <f>AH86</f>
        <v>1474.6689999999999</v>
      </c>
      <c r="V86" s="2">
        <f>AI86</f>
        <v>0</v>
      </c>
      <c r="W86" s="2">
        <f>ROUND(AJ86,2)</f>
        <v>0</v>
      </c>
      <c r="X86" s="2">
        <f>ROUND(AK86,2)</f>
        <v>620522.86</v>
      </c>
      <c r="Y86" s="2">
        <f>ROUND(AL86,2)</f>
        <v>88646.12</v>
      </c>
      <c r="Z86" s="2"/>
      <c r="AA86" s="2"/>
      <c r="AB86" s="2">
        <f>ROUND(SUMIF(AA28:AA84,"=81141517",O28:O84),2)</f>
        <v>7260116.0800000001</v>
      </c>
      <c r="AC86" s="2">
        <f>ROUND(SUMIF(AA28:AA84,"=81141517",P28:P84),2)</f>
        <v>6013912.25</v>
      </c>
      <c r="AD86" s="2">
        <f>ROUND(SUMIF(AA28:AA84,"=81141517",Q28:Q84),2)</f>
        <v>359742.61</v>
      </c>
      <c r="AE86" s="2">
        <f>ROUND(SUMIF(AA28:AA84,"=81141517",R28:R84),2)</f>
        <v>174744.13</v>
      </c>
      <c r="AF86" s="2">
        <f>ROUND(SUMIF(AA28:AA84,"=81141517",S28:S84),2)</f>
        <v>886461.22</v>
      </c>
      <c r="AG86" s="2">
        <f>ROUND(SUMIF(AA28:AA84,"=81141517",T28:T84),2)</f>
        <v>0</v>
      </c>
      <c r="AH86" s="2">
        <f>SUMIF(AA28:AA84,"=81141517",U28:U84)</f>
        <v>1474.6689999999999</v>
      </c>
      <c r="AI86" s="2">
        <f>SUMIF(AA28:AA84,"=81141517",V28:V84)</f>
        <v>0</v>
      </c>
      <c r="AJ86" s="2">
        <f>ROUND(SUMIF(AA28:AA84,"=81141517",W28:W84),2)</f>
        <v>0</v>
      </c>
      <c r="AK86" s="2">
        <f>ROUND(SUMIF(AA28:AA84,"=81141517",X28:X84),2)</f>
        <v>620522.86</v>
      </c>
      <c r="AL86" s="2">
        <f>ROUND(SUMIF(AA28:AA84,"=81141517",Y28:Y84),2)</f>
        <v>88646.12</v>
      </c>
      <c r="AM86" s="2"/>
      <c r="AN86" s="2"/>
      <c r="AO86" s="2">
        <f t="shared" ref="AO86:BD86" si="100">ROUND(BX86,2)</f>
        <v>0</v>
      </c>
      <c r="AP86" s="2">
        <f t="shared" si="100"/>
        <v>0</v>
      </c>
      <c r="AQ86" s="2">
        <f t="shared" si="100"/>
        <v>0</v>
      </c>
      <c r="AR86" s="2">
        <f t="shared" si="100"/>
        <v>8158008.7300000004</v>
      </c>
      <c r="AS86" s="2">
        <f t="shared" si="100"/>
        <v>0</v>
      </c>
      <c r="AT86" s="2">
        <f t="shared" si="100"/>
        <v>0</v>
      </c>
      <c r="AU86" s="2">
        <f t="shared" si="100"/>
        <v>8158008.7300000004</v>
      </c>
      <c r="AV86" s="2">
        <f t="shared" si="100"/>
        <v>6013912.25</v>
      </c>
      <c r="AW86" s="2">
        <f t="shared" si="100"/>
        <v>6013912.25</v>
      </c>
      <c r="AX86" s="2">
        <f t="shared" si="100"/>
        <v>0</v>
      </c>
      <c r="AY86" s="2">
        <f t="shared" si="100"/>
        <v>6013912.25</v>
      </c>
      <c r="AZ86" s="2">
        <f t="shared" si="100"/>
        <v>0</v>
      </c>
      <c r="BA86" s="2">
        <f t="shared" si="100"/>
        <v>0</v>
      </c>
      <c r="BB86" s="2">
        <f t="shared" si="100"/>
        <v>0</v>
      </c>
      <c r="BC86" s="2">
        <f t="shared" si="100"/>
        <v>0</v>
      </c>
      <c r="BD86" s="2">
        <f t="shared" si="100"/>
        <v>0</v>
      </c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>
        <f>ROUND(SUMIF(AA28:AA84,"=81141517",FQ28:FQ84),2)</f>
        <v>0</v>
      </c>
      <c r="BY86" s="2">
        <f>ROUND(SUMIF(AA28:AA84,"=81141517",FR28:FR84),2)</f>
        <v>0</v>
      </c>
      <c r="BZ86" s="2">
        <f>ROUND(SUMIF(AA28:AA84,"=81141517",GL28:GL84),2)</f>
        <v>0</v>
      </c>
      <c r="CA86" s="2">
        <f>ROUND(SUMIF(AA28:AA84,"=81141517",GM28:GM84),2)</f>
        <v>8158008.7300000004</v>
      </c>
      <c r="CB86" s="2">
        <f>ROUND(SUMIF(AA28:AA84,"=81141517",GN28:GN84),2)</f>
        <v>0</v>
      </c>
      <c r="CC86" s="2">
        <f>ROUND(SUMIF(AA28:AA84,"=81141517",GO28:GO84),2)</f>
        <v>0</v>
      </c>
      <c r="CD86" s="2">
        <f>ROUND(SUMIF(AA28:AA84,"=81141517",GP28:GP84),2)</f>
        <v>8158008.7300000004</v>
      </c>
      <c r="CE86" s="2">
        <f>AC86-BX86</f>
        <v>6013912.25</v>
      </c>
      <c r="CF86" s="2">
        <f>AC86-BY86</f>
        <v>6013912.25</v>
      </c>
      <c r="CG86" s="2">
        <f>BX86-BZ86</f>
        <v>0</v>
      </c>
      <c r="CH86" s="2">
        <f>AC86-BX86-BY86+BZ86</f>
        <v>6013912.25</v>
      </c>
      <c r="CI86" s="2">
        <f>BY86-BZ86</f>
        <v>0</v>
      </c>
      <c r="CJ86" s="2">
        <f>ROUND(SUMIF(AA28:AA84,"=81141517",GX28:GX84),2)</f>
        <v>0</v>
      </c>
      <c r="CK86" s="2">
        <f>ROUND(SUMIF(AA28:AA84,"=81141517",GY28:GY84),2)</f>
        <v>0</v>
      </c>
      <c r="CL86" s="2">
        <f>ROUND(SUMIF(AA28:AA84,"=81141517",GZ28:GZ84),2)</f>
        <v>0</v>
      </c>
      <c r="CM86" s="2">
        <f>ROUND(SUMIF(AA28:AA84,"=81141517",HD28:HD84),2)</f>
        <v>0</v>
      </c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>
        <v>0</v>
      </c>
    </row>
    <row r="88" spans="1:245" x14ac:dyDescent="0.2">
      <c r="A88" s="4">
        <v>50</v>
      </c>
      <c r="B88" s="4">
        <v>0</v>
      </c>
      <c r="C88" s="4">
        <v>0</v>
      </c>
      <c r="D88" s="4">
        <v>1</v>
      </c>
      <c r="E88" s="4">
        <v>201</v>
      </c>
      <c r="F88" s="4">
        <f>ROUND(Source!O86,O88)</f>
        <v>7260116.0800000001</v>
      </c>
      <c r="G88" s="4" t="s">
        <v>185</v>
      </c>
      <c r="H88" s="4" t="s">
        <v>186</v>
      </c>
      <c r="I88" s="4"/>
      <c r="J88" s="4"/>
      <c r="K88" s="4">
        <v>201</v>
      </c>
      <c r="L88" s="4">
        <v>1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7260116.0800000001</v>
      </c>
      <c r="X88" s="4">
        <v>1</v>
      </c>
      <c r="Y88" s="4">
        <v>7260116.0800000001</v>
      </c>
      <c r="Z88" s="4"/>
      <c r="AA88" s="4"/>
      <c r="AB88" s="4"/>
    </row>
    <row r="89" spans="1:245" x14ac:dyDescent="0.2">
      <c r="A89" s="4">
        <v>50</v>
      </c>
      <c r="B89" s="4">
        <v>0</v>
      </c>
      <c r="C89" s="4">
        <v>0</v>
      </c>
      <c r="D89" s="4">
        <v>1</v>
      </c>
      <c r="E89" s="4">
        <v>202</v>
      </c>
      <c r="F89" s="4">
        <f>ROUND(Source!P86,O89)</f>
        <v>6013912.25</v>
      </c>
      <c r="G89" s="4" t="s">
        <v>187</v>
      </c>
      <c r="H89" s="4" t="s">
        <v>188</v>
      </c>
      <c r="I89" s="4"/>
      <c r="J89" s="4"/>
      <c r="K89" s="4">
        <v>202</v>
      </c>
      <c r="L89" s="4">
        <v>2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6013912.25</v>
      </c>
      <c r="X89" s="4">
        <v>1</v>
      </c>
      <c r="Y89" s="4">
        <v>6013912.25</v>
      </c>
      <c r="Z89" s="4"/>
      <c r="AA89" s="4"/>
      <c r="AB89" s="4"/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222</v>
      </c>
      <c r="F90" s="4">
        <f>ROUND(Source!AO86,O90)</f>
        <v>0</v>
      </c>
      <c r="G90" s="4" t="s">
        <v>189</v>
      </c>
      <c r="H90" s="4" t="s">
        <v>190</v>
      </c>
      <c r="I90" s="4"/>
      <c r="J90" s="4"/>
      <c r="K90" s="4">
        <v>222</v>
      </c>
      <c r="L90" s="4">
        <v>3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225</v>
      </c>
      <c r="F91" s="4">
        <f>ROUND(Source!AV86,O91)</f>
        <v>6013912.25</v>
      </c>
      <c r="G91" s="4" t="s">
        <v>191</v>
      </c>
      <c r="H91" s="4" t="s">
        <v>192</v>
      </c>
      <c r="I91" s="4"/>
      <c r="J91" s="4"/>
      <c r="K91" s="4">
        <v>225</v>
      </c>
      <c r="L91" s="4">
        <v>4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6013912.25</v>
      </c>
      <c r="X91" s="4">
        <v>1</v>
      </c>
      <c r="Y91" s="4">
        <v>6013912.25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226</v>
      </c>
      <c r="F92" s="4">
        <f>ROUND(Source!AW86,O92)</f>
        <v>6013912.25</v>
      </c>
      <c r="G92" s="4" t="s">
        <v>193</v>
      </c>
      <c r="H92" s="4" t="s">
        <v>194</v>
      </c>
      <c r="I92" s="4"/>
      <c r="J92" s="4"/>
      <c r="K92" s="4">
        <v>226</v>
      </c>
      <c r="L92" s="4">
        <v>5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6013912.25</v>
      </c>
      <c r="X92" s="4">
        <v>1</v>
      </c>
      <c r="Y92" s="4">
        <v>6013912.25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227</v>
      </c>
      <c r="F93" s="4">
        <f>ROUND(Source!AX86,O93)</f>
        <v>0</v>
      </c>
      <c r="G93" s="4" t="s">
        <v>195</v>
      </c>
      <c r="H93" s="4" t="s">
        <v>196</v>
      </c>
      <c r="I93" s="4"/>
      <c r="J93" s="4"/>
      <c r="K93" s="4">
        <v>227</v>
      </c>
      <c r="L93" s="4">
        <v>6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228</v>
      </c>
      <c r="F94" s="4">
        <f>ROUND(Source!AY86,O94)</f>
        <v>6013912.25</v>
      </c>
      <c r="G94" s="4" t="s">
        <v>197</v>
      </c>
      <c r="H94" s="4" t="s">
        <v>198</v>
      </c>
      <c r="I94" s="4"/>
      <c r="J94" s="4"/>
      <c r="K94" s="4">
        <v>228</v>
      </c>
      <c r="L94" s="4">
        <v>7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6013912.25</v>
      </c>
      <c r="X94" s="4">
        <v>1</v>
      </c>
      <c r="Y94" s="4">
        <v>6013912.25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216</v>
      </c>
      <c r="F95" s="4">
        <f>ROUND(Source!AP86,O95)</f>
        <v>0</v>
      </c>
      <c r="G95" s="4" t="s">
        <v>199</v>
      </c>
      <c r="H95" s="4" t="s">
        <v>200</v>
      </c>
      <c r="I95" s="4"/>
      <c r="J95" s="4"/>
      <c r="K95" s="4">
        <v>216</v>
      </c>
      <c r="L95" s="4">
        <v>8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223</v>
      </c>
      <c r="F96" s="4">
        <f>ROUND(Source!AQ86,O96)</f>
        <v>0</v>
      </c>
      <c r="G96" s="4" t="s">
        <v>201</v>
      </c>
      <c r="H96" s="4" t="s">
        <v>202</v>
      </c>
      <c r="I96" s="4"/>
      <c r="J96" s="4"/>
      <c r="K96" s="4">
        <v>223</v>
      </c>
      <c r="L96" s="4">
        <v>9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229</v>
      </c>
      <c r="F97" s="4">
        <f>ROUND(Source!AZ86,O97)</f>
        <v>0</v>
      </c>
      <c r="G97" s="4" t="s">
        <v>203</v>
      </c>
      <c r="H97" s="4" t="s">
        <v>204</v>
      </c>
      <c r="I97" s="4"/>
      <c r="J97" s="4"/>
      <c r="K97" s="4">
        <v>229</v>
      </c>
      <c r="L97" s="4">
        <v>10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203</v>
      </c>
      <c r="F98" s="4">
        <f>ROUND(Source!Q86,O98)</f>
        <v>359742.61</v>
      </c>
      <c r="G98" s="4" t="s">
        <v>205</v>
      </c>
      <c r="H98" s="4" t="s">
        <v>206</v>
      </c>
      <c r="I98" s="4"/>
      <c r="J98" s="4"/>
      <c r="K98" s="4">
        <v>203</v>
      </c>
      <c r="L98" s="4">
        <v>11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359742.61</v>
      </c>
      <c r="X98" s="4">
        <v>1</v>
      </c>
      <c r="Y98" s="4">
        <v>359742.61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231</v>
      </c>
      <c r="F99" s="4">
        <f>ROUND(Source!BB86,O99)</f>
        <v>0</v>
      </c>
      <c r="G99" s="4" t="s">
        <v>207</v>
      </c>
      <c r="H99" s="4" t="s">
        <v>208</v>
      </c>
      <c r="I99" s="4"/>
      <c r="J99" s="4"/>
      <c r="K99" s="4">
        <v>231</v>
      </c>
      <c r="L99" s="4">
        <v>12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204</v>
      </c>
      <c r="F100" s="4">
        <f>ROUND(Source!R86,O100)</f>
        <v>174744.13</v>
      </c>
      <c r="G100" s="4" t="s">
        <v>209</v>
      </c>
      <c r="H100" s="4" t="s">
        <v>210</v>
      </c>
      <c r="I100" s="4"/>
      <c r="J100" s="4"/>
      <c r="K100" s="4">
        <v>204</v>
      </c>
      <c r="L100" s="4">
        <v>13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174744.13</v>
      </c>
      <c r="X100" s="4">
        <v>1</v>
      </c>
      <c r="Y100" s="4">
        <v>174744.13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205</v>
      </c>
      <c r="F101" s="4">
        <f>ROUND(Source!S86,O101)</f>
        <v>886461.22</v>
      </c>
      <c r="G101" s="4" t="s">
        <v>211</v>
      </c>
      <c r="H101" s="4" t="s">
        <v>212</v>
      </c>
      <c r="I101" s="4"/>
      <c r="J101" s="4"/>
      <c r="K101" s="4">
        <v>205</v>
      </c>
      <c r="L101" s="4">
        <v>14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886461.22</v>
      </c>
      <c r="X101" s="4">
        <v>1</v>
      </c>
      <c r="Y101" s="4">
        <v>886461.22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232</v>
      </c>
      <c r="F102" s="4">
        <f>ROUND(Source!BC86,O102)</f>
        <v>0</v>
      </c>
      <c r="G102" s="4" t="s">
        <v>213</v>
      </c>
      <c r="H102" s="4" t="s">
        <v>214</v>
      </c>
      <c r="I102" s="4"/>
      <c r="J102" s="4"/>
      <c r="K102" s="4">
        <v>232</v>
      </c>
      <c r="L102" s="4">
        <v>15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214</v>
      </c>
      <c r="F103" s="4">
        <f>ROUND(Source!AS86,O103)</f>
        <v>0</v>
      </c>
      <c r="G103" s="4" t="s">
        <v>215</v>
      </c>
      <c r="H103" s="4" t="s">
        <v>216</v>
      </c>
      <c r="I103" s="4"/>
      <c r="J103" s="4"/>
      <c r="K103" s="4">
        <v>214</v>
      </c>
      <c r="L103" s="4">
        <v>16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215</v>
      </c>
      <c r="F104" s="4">
        <f>ROUND(Source!AT86,O104)</f>
        <v>0</v>
      </c>
      <c r="G104" s="4" t="s">
        <v>217</v>
      </c>
      <c r="H104" s="4" t="s">
        <v>218</v>
      </c>
      <c r="I104" s="4"/>
      <c r="J104" s="4"/>
      <c r="K104" s="4">
        <v>215</v>
      </c>
      <c r="L104" s="4">
        <v>17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217</v>
      </c>
      <c r="F105" s="4">
        <f>ROUND(Source!AU86,O105)</f>
        <v>8158008.7300000004</v>
      </c>
      <c r="G105" s="4" t="s">
        <v>219</v>
      </c>
      <c r="H105" s="4" t="s">
        <v>220</v>
      </c>
      <c r="I105" s="4"/>
      <c r="J105" s="4"/>
      <c r="K105" s="4">
        <v>217</v>
      </c>
      <c r="L105" s="4">
        <v>18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8158008.7300000004</v>
      </c>
      <c r="X105" s="4">
        <v>1</v>
      </c>
      <c r="Y105" s="4">
        <v>8158008.7300000004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230</v>
      </c>
      <c r="F106" s="4">
        <f>ROUND(Source!BA86,O106)</f>
        <v>0</v>
      </c>
      <c r="G106" s="4" t="s">
        <v>221</v>
      </c>
      <c r="H106" s="4" t="s">
        <v>222</v>
      </c>
      <c r="I106" s="4"/>
      <c r="J106" s="4"/>
      <c r="K106" s="4">
        <v>230</v>
      </c>
      <c r="L106" s="4">
        <v>19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206</v>
      </c>
      <c r="F107" s="4">
        <f>ROUND(Source!T86,O107)</f>
        <v>0</v>
      </c>
      <c r="G107" s="4" t="s">
        <v>223</v>
      </c>
      <c r="H107" s="4" t="s">
        <v>224</v>
      </c>
      <c r="I107" s="4"/>
      <c r="J107" s="4"/>
      <c r="K107" s="4">
        <v>206</v>
      </c>
      <c r="L107" s="4">
        <v>20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207</v>
      </c>
      <c r="F108" s="4">
        <f>Source!U86</f>
        <v>1474.6689999999999</v>
      </c>
      <c r="G108" s="4" t="s">
        <v>225</v>
      </c>
      <c r="H108" s="4" t="s">
        <v>226</v>
      </c>
      <c r="I108" s="4"/>
      <c r="J108" s="4"/>
      <c r="K108" s="4">
        <v>207</v>
      </c>
      <c r="L108" s="4">
        <v>21</v>
      </c>
      <c r="M108" s="4">
        <v>3</v>
      </c>
      <c r="N108" s="4" t="s">
        <v>3</v>
      </c>
      <c r="O108" s="4">
        <v>-1</v>
      </c>
      <c r="P108" s="4"/>
      <c r="Q108" s="4"/>
      <c r="R108" s="4"/>
      <c r="S108" s="4"/>
      <c r="T108" s="4"/>
      <c r="U108" s="4"/>
      <c r="V108" s="4"/>
      <c r="W108" s="4">
        <v>1474.6689999999999</v>
      </c>
      <c r="X108" s="4">
        <v>1</v>
      </c>
      <c r="Y108" s="4">
        <v>1474.6689999999999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208</v>
      </c>
      <c r="F109" s="4">
        <f>Source!V86</f>
        <v>0</v>
      </c>
      <c r="G109" s="4" t="s">
        <v>227</v>
      </c>
      <c r="H109" s="4" t="s">
        <v>228</v>
      </c>
      <c r="I109" s="4"/>
      <c r="J109" s="4"/>
      <c r="K109" s="4">
        <v>208</v>
      </c>
      <c r="L109" s="4">
        <v>22</v>
      </c>
      <c r="M109" s="4">
        <v>3</v>
      </c>
      <c r="N109" s="4" t="s">
        <v>3</v>
      </c>
      <c r="O109" s="4">
        <v>-1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209</v>
      </c>
      <c r="F110" s="4">
        <f>ROUND(Source!W86,O110)</f>
        <v>0</v>
      </c>
      <c r="G110" s="4" t="s">
        <v>229</v>
      </c>
      <c r="H110" s="4" t="s">
        <v>230</v>
      </c>
      <c r="I110" s="4"/>
      <c r="J110" s="4"/>
      <c r="K110" s="4">
        <v>209</v>
      </c>
      <c r="L110" s="4">
        <v>23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233</v>
      </c>
      <c r="F111" s="4">
        <f>ROUND(Source!BD86,O111)</f>
        <v>0</v>
      </c>
      <c r="G111" s="4" t="s">
        <v>231</v>
      </c>
      <c r="H111" s="4" t="s">
        <v>232</v>
      </c>
      <c r="I111" s="4"/>
      <c r="J111" s="4"/>
      <c r="K111" s="4">
        <v>233</v>
      </c>
      <c r="L111" s="4">
        <v>24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210</v>
      </c>
      <c r="F112" s="4">
        <f>ROUND(Source!X86,O112)</f>
        <v>620522.86</v>
      </c>
      <c r="G112" s="4" t="s">
        <v>233</v>
      </c>
      <c r="H112" s="4" t="s">
        <v>234</v>
      </c>
      <c r="I112" s="4"/>
      <c r="J112" s="4"/>
      <c r="K112" s="4">
        <v>210</v>
      </c>
      <c r="L112" s="4">
        <v>25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620522.86</v>
      </c>
      <c r="X112" s="4">
        <v>1</v>
      </c>
      <c r="Y112" s="4">
        <v>620522.86</v>
      </c>
      <c r="Z112" s="4"/>
      <c r="AA112" s="4"/>
      <c r="AB112" s="4"/>
    </row>
    <row r="113" spans="1:206" x14ac:dyDescent="0.2">
      <c r="A113" s="4">
        <v>50</v>
      </c>
      <c r="B113" s="4">
        <v>0</v>
      </c>
      <c r="C113" s="4">
        <v>0</v>
      </c>
      <c r="D113" s="4">
        <v>1</v>
      </c>
      <c r="E113" s="4">
        <v>211</v>
      </c>
      <c r="F113" s="4">
        <f>ROUND(Source!Y86,O113)</f>
        <v>88646.12</v>
      </c>
      <c r="G113" s="4" t="s">
        <v>235</v>
      </c>
      <c r="H113" s="4" t="s">
        <v>236</v>
      </c>
      <c r="I113" s="4"/>
      <c r="J113" s="4"/>
      <c r="K113" s="4">
        <v>211</v>
      </c>
      <c r="L113" s="4">
        <v>26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88646.12</v>
      </c>
      <c r="X113" s="4">
        <v>1</v>
      </c>
      <c r="Y113" s="4">
        <v>88646.12</v>
      </c>
      <c r="Z113" s="4"/>
      <c r="AA113" s="4"/>
      <c r="AB113" s="4"/>
    </row>
    <row r="114" spans="1:206" x14ac:dyDescent="0.2">
      <c r="A114" s="4">
        <v>50</v>
      </c>
      <c r="B114" s="4">
        <v>0</v>
      </c>
      <c r="C114" s="4">
        <v>0</v>
      </c>
      <c r="D114" s="4">
        <v>1</v>
      </c>
      <c r="E114" s="4">
        <v>224</v>
      </c>
      <c r="F114" s="4">
        <f>ROUND(Source!AR86,O114)</f>
        <v>8158008.7300000004</v>
      </c>
      <c r="G114" s="4" t="s">
        <v>237</v>
      </c>
      <c r="H114" s="4" t="s">
        <v>238</v>
      </c>
      <c r="I114" s="4"/>
      <c r="J114" s="4"/>
      <c r="K114" s="4">
        <v>224</v>
      </c>
      <c r="L114" s="4">
        <v>27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8158008.7300000004</v>
      </c>
      <c r="X114" s="4">
        <v>1</v>
      </c>
      <c r="Y114" s="4">
        <v>8158008.7300000004</v>
      </c>
      <c r="Z114" s="4"/>
      <c r="AA114" s="4"/>
      <c r="AB114" s="4"/>
    </row>
    <row r="116" spans="1:206" x14ac:dyDescent="0.2">
      <c r="A116" s="2">
        <v>51</v>
      </c>
      <c r="B116" s="2">
        <f>B20</f>
        <v>1</v>
      </c>
      <c r="C116" s="2">
        <f>A20</f>
        <v>3</v>
      </c>
      <c r="D116" s="2">
        <f>ROW(A20)</f>
        <v>20</v>
      </c>
      <c r="E116" s="2"/>
      <c r="F116" s="2" t="str">
        <f>IF(F20&lt;&gt;"",F20,"")</f>
        <v>Новая локальная смета</v>
      </c>
      <c r="G116" s="2" t="str">
        <f>IF(G20&lt;&gt;"",G20,"")</f>
        <v>Новая локальная смета</v>
      </c>
      <c r="H116" s="2">
        <v>0</v>
      </c>
      <c r="I116" s="2"/>
      <c r="J116" s="2"/>
      <c r="K116" s="2"/>
      <c r="L116" s="2"/>
      <c r="M116" s="2"/>
      <c r="N116" s="2"/>
      <c r="O116" s="2">
        <f t="shared" ref="O116:T116" si="101">ROUND(O86+AB116,2)</f>
        <v>7260116.0800000001</v>
      </c>
      <c r="P116" s="2">
        <f t="shared" si="101"/>
        <v>6013912.25</v>
      </c>
      <c r="Q116" s="2">
        <f t="shared" si="101"/>
        <v>359742.61</v>
      </c>
      <c r="R116" s="2">
        <f t="shared" si="101"/>
        <v>174744.13</v>
      </c>
      <c r="S116" s="2">
        <f t="shared" si="101"/>
        <v>886461.22</v>
      </c>
      <c r="T116" s="2">
        <f t="shared" si="101"/>
        <v>0</v>
      </c>
      <c r="U116" s="2">
        <f>U86+AH116</f>
        <v>1474.6689999999999</v>
      </c>
      <c r="V116" s="2">
        <f>V86+AI116</f>
        <v>0</v>
      </c>
      <c r="W116" s="2">
        <f>ROUND(W86+AJ116,2)</f>
        <v>0</v>
      </c>
      <c r="X116" s="2">
        <f>ROUND(X86+AK116,2)</f>
        <v>620522.86</v>
      </c>
      <c r="Y116" s="2">
        <f>ROUND(Y86+AL116,2)</f>
        <v>88646.12</v>
      </c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>
        <f t="shared" ref="AO116:BD116" si="102">ROUND(AO86+BX116,2)</f>
        <v>0</v>
      </c>
      <c r="AP116" s="2">
        <f t="shared" si="102"/>
        <v>0</v>
      </c>
      <c r="AQ116" s="2">
        <f t="shared" si="102"/>
        <v>0</v>
      </c>
      <c r="AR116" s="2">
        <f t="shared" si="102"/>
        <v>8158008.7300000004</v>
      </c>
      <c r="AS116" s="2">
        <f t="shared" si="102"/>
        <v>0</v>
      </c>
      <c r="AT116" s="2">
        <f t="shared" si="102"/>
        <v>0</v>
      </c>
      <c r="AU116" s="2">
        <f t="shared" si="102"/>
        <v>8158008.7300000004</v>
      </c>
      <c r="AV116" s="2">
        <f t="shared" si="102"/>
        <v>6013912.25</v>
      </c>
      <c r="AW116" s="2">
        <f t="shared" si="102"/>
        <v>6013912.25</v>
      </c>
      <c r="AX116" s="2">
        <f t="shared" si="102"/>
        <v>0</v>
      </c>
      <c r="AY116" s="2">
        <f t="shared" si="102"/>
        <v>6013912.25</v>
      </c>
      <c r="AZ116" s="2">
        <f t="shared" si="102"/>
        <v>0</v>
      </c>
      <c r="BA116" s="2">
        <f t="shared" si="102"/>
        <v>0</v>
      </c>
      <c r="BB116" s="2">
        <f t="shared" si="102"/>
        <v>0</v>
      </c>
      <c r="BC116" s="2">
        <f t="shared" si="102"/>
        <v>0</v>
      </c>
      <c r="BD116" s="2">
        <f t="shared" si="102"/>
        <v>0</v>
      </c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>
        <v>0</v>
      </c>
    </row>
    <row r="118" spans="1:206" x14ac:dyDescent="0.2">
      <c r="A118" s="4">
        <v>50</v>
      </c>
      <c r="B118" s="4">
        <v>0</v>
      </c>
      <c r="C118" s="4">
        <v>0</v>
      </c>
      <c r="D118" s="4">
        <v>1</v>
      </c>
      <c r="E118" s="4">
        <v>201</v>
      </c>
      <c r="F118" s="4">
        <f>ROUND(Source!O116,O118)</f>
        <v>7260116.0800000001</v>
      </c>
      <c r="G118" s="4" t="s">
        <v>185</v>
      </c>
      <c r="H118" s="4" t="s">
        <v>186</v>
      </c>
      <c r="I118" s="4"/>
      <c r="J118" s="4"/>
      <c r="K118" s="4">
        <v>201</v>
      </c>
      <c r="L118" s="4">
        <v>1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7260116.0800000001</v>
      </c>
      <c r="X118" s="4">
        <v>1</v>
      </c>
      <c r="Y118" s="4">
        <v>7260116.0800000001</v>
      </c>
      <c r="Z118" s="4"/>
      <c r="AA118" s="4"/>
      <c r="AB118" s="4"/>
    </row>
    <row r="119" spans="1:206" x14ac:dyDescent="0.2">
      <c r="A119" s="4">
        <v>50</v>
      </c>
      <c r="B119" s="4">
        <v>0</v>
      </c>
      <c r="C119" s="4">
        <v>0</v>
      </c>
      <c r="D119" s="4">
        <v>1</v>
      </c>
      <c r="E119" s="4">
        <v>202</v>
      </c>
      <c r="F119" s="4">
        <f>ROUND(Source!P116,O119)</f>
        <v>6013912.25</v>
      </c>
      <c r="G119" s="4" t="s">
        <v>187</v>
      </c>
      <c r="H119" s="4" t="s">
        <v>188</v>
      </c>
      <c r="I119" s="4"/>
      <c r="J119" s="4"/>
      <c r="K119" s="4">
        <v>202</v>
      </c>
      <c r="L119" s="4">
        <v>2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6013912.25</v>
      </c>
      <c r="X119" s="4">
        <v>1</v>
      </c>
      <c r="Y119" s="4">
        <v>6013912.25</v>
      </c>
      <c r="Z119" s="4"/>
      <c r="AA119" s="4"/>
      <c r="AB119" s="4"/>
    </row>
    <row r="120" spans="1:206" x14ac:dyDescent="0.2">
      <c r="A120" s="4">
        <v>50</v>
      </c>
      <c r="B120" s="4">
        <v>0</v>
      </c>
      <c r="C120" s="4">
        <v>0</v>
      </c>
      <c r="D120" s="4">
        <v>1</v>
      </c>
      <c r="E120" s="4">
        <v>222</v>
      </c>
      <c r="F120" s="4">
        <f>ROUND(Source!AO116,O120)</f>
        <v>0</v>
      </c>
      <c r="G120" s="4" t="s">
        <v>189</v>
      </c>
      <c r="H120" s="4" t="s">
        <v>190</v>
      </c>
      <c r="I120" s="4"/>
      <c r="J120" s="4"/>
      <c r="K120" s="4">
        <v>222</v>
      </c>
      <c r="L120" s="4">
        <v>3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06" x14ac:dyDescent="0.2">
      <c r="A121" s="4">
        <v>50</v>
      </c>
      <c r="B121" s="4">
        <v>0</v>
      </c>
      <c r="C121" s="4">
        <v>0</v>
      </c>
      <c r="D121" s="4">
        <v>1</v>
      </c>
      <c r="E121" s="4">
        <v>225</v>
      </c>
      <c r="F121" s="4">
        <f>ROUND(Source!AV116,O121)</f>
        <v>6013912.25</v>
      </c>
      <c r="G121" s="4" t="s">
        <v>191</v>
      </c>
      <c r="H121" s="4" t="s">
        <v>192</v>
      </c>
      <c r="I121" s="4"/>
      <c r="J121" s="4"/>
      <c r="K121" s="4">
        <v>225</v>
      </c>
      <c r="L121" s="4">
        <v>4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6013912.25</v>
      </c>
      <c r="X121" s="4">
        <v>1</v>
      </c>
      <c r="Y121" s="4">
        <v>6013912.25</v>
      </c>
      <c r="Z121" s="4"/>
      <c r="AA121" s="4"/>
      <c r="AB121" s="4"/>
    </row>
    <row r="122" spans="1:206" x14ac:dyDescent="0.2">
      <c r="A122" s="4">
        <v>50</v>
      </c>
      <c r="B122" s="4">
        <v>0</v>
      </c>
      <c r="C122" s="4">
        <v>0</v>
      </c>
      <c r="D122" s="4">
        <v>1</v>
      </c>
      <c r="E122" s="4">
        <v>226</v>
      </c>
      <c r="F122" s="4">
        <f>ROUND(Source!AW116,O122)</f>
        <v>6013912.25</v>
      </c>
      <c r="G122" s="4" t="s">
        <v>193</v>
      </c>
      <c r="H122" s="4" t="s">
        <v>194</v>
      </c>
      <c r="I122" s="4"/>
      <c r="J122" s="4"/>
      <c r="K122" s="4">
        <v>226</v>
      </c>
      <c r="L122" s="4">
        <v>5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6013912.25</v>
      </c>
      <c r="X122" s="4">
        <v>1</v>
      </c>
      <c r="Y122" s="4">
        <v>6013912.25</v>
      </c>
      <c r="Z122" s="4"/>
      <c r="AA122" s="4"/>
      <c r="AB122" s="4"/>
    </row>
    <row r="123" spans="1:206" x14ac:dyDescent="0.2">
      <c r="A123" s="4">
        <v>50</v>
      </c>
      <c r="B123" s="4">
        <v>0</v>
      </c>
      <c r="C123" s="4">
        <v>0</v>
      </c>
      <c r="D123" s="4">
        <v>1</v>
      </c>
      <c r="E123" s="4">
        <v>227</v>
      </c>
      <c r="F123" s="4">
        <f>ROUND(Source!AX116,O123)</f>
        <v>0</v>
      </c>
      <c r="G123" s="4" t="s">
        <v>195</v>
      </c>
      <c r="H123" s="4" t="s">
        <v>196</v>
      </c>
      <c r="I123" s="4"/>
      <c r="J123" s="4"/>
      <c r="K123" s="4">
        <v>227</v>
      </c>
      <c r="L123" s="4">
        <v>6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06" x14ac:dyDescent="0.2">
      <c r="A124" s="4">
        <v>50</v>
      </c>
      <c r="B124" s="4">
        <v>0</v>
      </c>
      <c r="C124" s="4">
        <v>0</v>
      </c>
      <c r="D124" s="4">
        <v>1</v>
      </c>
      <c r="E124" s="4">
        <v>228</v>
      </c>
      <c r="F124" s="4">
        <f>ROUND(Source!AY116,O124)</f>
        <v>6013912.25</v>
      </c>
      <c r="G124" s="4" t="s">
        <v>197</v>
      </c>
      <c r="H124" s="4" t="s">
        <v>198</v>
      </c>
      <c r="I124" s="4"/>
      <c r="J124" s="4"/>
      <c r="K124" s="4">
        <v>228</v>
      </c>
      <c r="L124" s="4">
        <v>7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6013912.25</v>
      </c>
      <c r="X124" s="4">
        <v>1</v>
      </c>
      <c r="Y124" s="4">
        <v>6013912.25</v>
      </c>
      <c r="Z124" s="4"/>
      <c r="AA124" s="4"/>
      <c r="AB124" s="4"/>
    </row>
    <row r="125" spans="1:206" x14ac:dyDescent="0.2">
      <c r="A125" s="4">
        <v>50</v>
      </c>
      <c r="B125" s="4">
        <v>0</v>
      </c>
      <c r="C125" s="4">
        <v>0</v>
      </c>
      <c r="D125" s="4">
        <v>1</v>
      </c>
      <c r="E125" s="4">
        <v>216</v>
      </c>
      <c r="F125" s="4">
        <f>ROUND(Source!AP116,O125)</f>
        <v>0</v>
      </c>
      <c r="G125" s="4" t="s">
        <v>199</v>
      </c>
      <c r="H125" s="4" t="s">
        <v>200</v>
      </c>
      <c r="I125" s="4"/>
      <c r="J125" s="4"/>
      <c r="K125" s="4">
        <v>216</v>
      </c>
      <c r="L125" s="4">
        <v>8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06" x14ac:dyDescent="0.2">
      <c r="A126" s="4">
        <v>50</v>
      </c>
      <c r="B126" s="4">
        <v>0</v>
      </c>
      <c r="C126" s="4">
        <v>0</v>
      </c>
      <c r="D126" s="4">
        <v>1</v>
      </c>
      <c r="E126" s="4">
        <v>223</v>
      </c>
      <c r="F126" s="4">
        <f>ROUND(Source!AQ116,O126)</f>
        <v>0</v>
      </c>
      <c r="G126" s="4" t="s">
        <v>201</v>
      </c>
      <c r="H126" s="4" t="s">
        <v>202</v>
      </c>
      <c r="I126" s="4"/>
      <c r="J126" s="4"/>
      <c r="K126" s="4">
        <v>223</v>
      </c>
      <c r="L126" s="4">
        <v>9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06" x14ac:dyDescent="0.2">
      <c r="A127" s="4">
        <v>50</v>
      </c>
      <c r="B127" s="4">
        <v>0</v>
      </c>
      <c r="C127" s="4">
        <v>0</v>
      </c>
      <c r="D127" s="4">
        <v>1</v>
      </c>
      <c r="E127" s="4">
        <v>229</v>
      </c>
      <c r="F127" s="4">
        <f>ROUND(Source!AZ116,O127)</f>
        <v>0</v>
      </c>
      <c r="G127" s="4" t="s">
        <v>203</v>
      </c>
      <c r="H127" s="4" t="s">
        <v>204</v>
      </c>
      <c r="I127" s="4"/>
      <c r="J127" s="4"/>
      <c r="K127" s="4">
        <v>229</v>
      </c>
      <c r="L127" s="4">
        <v>10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06" x14ac:dyDescent="0.2">
      <c r="A128" s="4">
        <v>50</v>
      </c>
      <c r="B128" s="4">
        <v>0</v>
      </c>
      <c r="C128" s="4">
        <v>0</v>
      </c>
      <c r="D128" s="4">
        <v>1</v>
      </c>
      <c r="E128" s="4">
        <v>203</v>
      </c>
      <c r="F128" s="4">
        <f>ROUND(Source!Q116,O128)</f>
        <v>359742.61</v>
      </c>
      <c r="G128" s="4" t="s">
        <v>205</v>
      </c>
      <c r="H128" s="4" t="s">
        <v>206</v>
      </c>
      <c r="I128" s="4"/>
      <c r="J128" s="4"/>
      <c r="K128" s="4">
        <v>203</v>
      </c>
      <c r="L128" s="4">
        <v>11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359742.61</v>
      </c>
      <c r="X128" s="4">
        <v>1</v>
      </c>
      <c r="Y128" s="4">
        <v>359742.61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231</v>
      </c>
      <c r="F129" s="4">
        <f>ROUND(Source!BB116,O129)</f>
        <v>0</v>
      </c>
      <c r="G129" s="4" t="s">
        <v>207</v>
      </c>
      <c r="H129" s="4" t="s">
        <v>208</v>
      </c>
      <c r="I129" s="4"/>
      <c r="J129" s="4"/>
      <c r="K129" s="4">
        <v>231</v>
      </c>
      <c r="L129" s="4">
        <v>12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204</v>
      </c>
      <c r="F130" s="4">
        <f>ROUND(Source!R116,O130)</f>
        <v>174744.13</v>
      </c>
      <c r="G130" s="4" t="s">
        <v>209</v>
      </c>
      <c r="H130" s="4" t="s">
        <v>210</v>
      </c>
      <c r="I130" s="4"/>
      <c r="J130" s="4"/>
      <c r="K130" s="4">
        <v>204</v>
      </c>
      <c r="L130" s="4">
        <v>13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174744.13</v>
      </c>
      <c r="X130" s="4">
        <v>1</v>
      </c>
      <c r="Y130" s="4">
        <v>174744.13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205</v>
      </c>
      <c r="F131" s="4">
        <f>ROUND(Source!S116,O131)</f>
        <v>886461.22</v>
      </c>
      <c r="G131" s="4" t="s">
        <v>211</v>
      </c>
      <c r="H131" s="4" t="s">
        <v>212</v>
      </c>
      <c r="I131" s="4"/>
      <c r="J131" s="4"/>
      <c r="K131" s="4">
        <v>205</v>
      </c>
      <c r="L131" s="4">
        <v>14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886461.22</v>
      </c>
      <c r="X131" s="4">
        <v>1</v>
      </c>
      <c r="Y131" s="4">
        <v>886461.22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232</v>
      </c>
      <c r="F132" s="4">
        <f>ROUND(Source!BC116,O132)</f>
        <v>0</v>
      </c>
      <c r="G132" s="4" t="s">
        <v>213</v>
      </c>
      <c r="H132" s="4" t="s">
        <v>214</v>
      </c>
      <c r="I132" s="4"/>
      <c r="J132" s="4"/>
      <c r="K132" s="4">
        <v>232</v>
      </c>
      <c r="L132" s="4">
        <v>15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214</v>
      </c>
      <c r="F133" s="4">
        <f>ROUND(Source!AS116,O133)</f>
        <v>0</v>
      </c>
      <c r="G133" s="4" t="s">
        <v>215</v>
      </c>
      <c r="H133" s="4" t="s">
        <v>216</v>
      </c>
      <c r="I133" s="4"/>
      <c r="J133" s="4"/>
      <c r="K133" s="4">
        <v>214</v>
      </c>
      <c r="L133" s="4">
        <v>16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215</v>
      </c>
      <c r="F134" s="4">
        <f>ROUND(Source!AT116,O134)</f>
        <v>0</v>
      </c>
      <c r="G134" s="4" t="s">
        <v>217</v>
      </c>
      <c r="H134" s="4" t="s">
        <v>218</v>
      </c>
      <c r="I134" s="4"/>
      <c r="J134" s="4"/>
      <c r="K134" s="4">
        <v>215</v>
      </c>
      <c r="L134" s="4">
        <v>17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217</v>
      </c>
      <c r="F135" s="4">
        <f>ROUND(Source!AU116,O135)</f>
        <v>8158008.7300000004</v>
      </c>
      <c r="G135" s="4" t="s">
        <v>219</v>
      </c>
      <c r="H135" s="4" t="s">
        <v>220</v>
      </c>
      <c r="I135" s="4"/>
      <c r="J135" s="4"/>
      <c r="K135" s="4">
        <v>217</v>
      </c>
      <c r="L135" s="4">
        <v>18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8158008.7300000004</v>
      </c>
      <c r="X135" s="4">
        <v>1</v>
      </c>
      <c r="Y135" s="4">
        <v>8158008.7300000004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230</v>
      </c>
      <c r="F136" s="4">
        <f>ROUND(Source!BA116,O136)</f>
        <v>0</v>
      </c>
      <c r="G136" s="4" t="s">
        <v>221</v>
      </c>
      <c r="H136" s="4" t="s">
        <v>222</v>
      </c>
      <c r="I136" s="4"/>
      <c r="J136" s="4"/>
      <c r="K136" s="4">
        <v>230</v>
      </c>
      <c r="L136" s="4">
        <v>19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206</v>
      </c>
      <c r="F137" s="4">
        <f>ROUND(Source!T116,O137)</f>
        <v>0</v>
      </c>
      <c r="G137" s="4" t="s">
        <v>223</v>
      </c>
      <c r="H137" s="4" t="s">
        <v>224</v>
      </c>
      <c r="I137" s="4"/>
      <c r="J137" s="4"/>
      <c r="K137" s="4">
        <v>206</v>
      </c>
      <c r="L137" s="4">
        <v>20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207</v>
      </c>
      <c r="F138" s="4">
        <f>Source!U116</f>
        <v>1474.6689999999999</v>
      </c>
      <c r="G138" s="4" t="s">
        <v>225</v>
      </c>
      <c r="H138" s="4" t="s">
        <v>226</v>
      </c>
      <c r="I138" s="4"/>
      <c r="J138" s="4"/>
      <c r="K138" s="4">
        <v>207</v>
      </c>
      <c r="L138" s="4">
        <v>21</v>
      </c>
      <c r="M138" s="4">
        <v>3</v>
      </c>
      <c r="N138" s="4" t="s">
        <v>3</v>
      </c>
      <c r="O138" s="4">
        <v>-1</v>
      </c>
      <c r="P138" s="4"/>
      <c r="Q138" s="4"/>
      <c r="R138" s="4"/>
      <c r="S138" s="4"/>
      <c r="T138" s="4"/>
      <c r="U138" s="4"/>
      <c r="V138" s="4"/>
      <c r="W138" s="4">
        <v>1474.6689999999999</v>
      </c>
      <c r="X138" s="4">
        <v>1</v>
      </c>
      <c r="Y138" s="4">
        <v>1474.6689999999999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208</v>
      </c>
      <c r="F139" s="4">
        <f>Source!V116</f>
        <v>0</v>
      </c>
      <c r="G139" s="4" t="s">
        <v>227</v>
      </c>
      <c r="H139" s="4" t="s">
        <v>228</v>
      </c>
      <c r="I139" s="4"/>
      <c r="J139" s="4"/>
      <c r="K139" s="4">
        <v>208</v>
      </c>
      <c r="L139" s="4">
        <v>22</v>
      </c>
      <c r="M139" s="4">
        <v>3</v>
      </c>
      <c r="N139" s="4" t="s">
        <v>3</v>
      </c>
      <c r="O139" s="4">
        <v>-1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209</v>
      </c>
      <c r="F140" s="4">
        <f>ROUND(Source!W116,O140)</f>
        <v>0</v>
      </c>
      <c r="G140" s="4" t="s">
        <v>229</v>
      </c>
      <c r="H140" s="4" t="s">
        <v>230</v>
      </c>
      <c r="I140" s="4"/>
      <c r="J140" s="4"/>
      <c r="K140" s="4">
        <v>209</v>
      </c>
      <c r="L140" s="4">
        <v>23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233</v>
      </c>
      <c r="F141" s="4">
        <f>ROUND(Source!BD116,O141)</f>
        <v>0</v>
      </c>
      <c r="G141" s="4" t="s">
        <v>231</v>
      </c>
      <c r="H141" s="4" t="s">
        <v>232</v>
      </c>
      <c r="I141" s="4"/>
      <c r="J141" s="4"/>
      <c r="K141" s="4">
        <v>233</v>
      </c>
      <c r="L141" s="4">
        <v>24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210</v>
      </c>
      <c r="F142" s="4">
        <f>ROUND(Source!X116,O142)</f>
        <v>620522.86</v>
      </c>
      <c r="G142" s="4" t="s">
        <v>233</v>
      </c>
      <c r="H142" s="4" t="s">
        <v>234</v>
      </c>
      <c r="I142" s="4"/>
      <c r="J142" s="4"/>
      <c r="K142" s="4">
        <v>210</v>
      </c>
      <c r="L142" s="4">
        <v>25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620522.86</v>
      </c>
      <c r="X142" s="4">
        <v>1</v>
      </c>
      <c r="Y142" s="4">
        <v>620522.86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211</v>
      </c>
      <c r="F143" s="4">
        <f>ROUND(Source!Y116,O143)</f>
        <v>88646.12</v>
      </c>
      <c r="G143" s="4" t="s">
        <v>235</v>
      </c>
      <c r="H143" s="4" t="s">
        <v>236</v>
      </c>
      <c r="I143" s="4"/>
      <c r="J143" s="4"/>
      <c r="K143" s="4">
        <v>211</v>
      </c>
      <c r="L143" s="4">
        <v>26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88646.12</v>
      </c>
      <c r="X143" s="4">
        <v>1</v>
      </c>
      <c r="Y143" s="4">
        <v>88646.12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224</v>
      </c>
      <c r="F144" s="4">
        <f>ROUND(Source!AR116,O144)</f>
        <v>8158008.7300000004</v>
      </c>
      <c r="G144" s="4" t="s">
        <v>237</v>
      </c>
      <c r="H144" s="4" t="s">
        <v>238</v>
      </c>
      <c r="I144" s="4"/>
      <c r="J144" s="4"/>
      <c r="K144" s="4">
        <v>224</v>
      </c>
      <c r="L144" s="4">
        <v>27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8158008.7300000004</v>
      </c>
      <c r="X144" s="4">
        <v>1</v>
      </c>
      <c r="Y144" s="4">
        <v>8158008.7300000004</v>
      </c>
      <c r="Z144" s="4"/>
      <c r="AA144" s="4"/>
      <c r="AB144" s="4"/>
    </row>
    <row r="145" spans="1:245" x14ac:dyDescent="0.2">
      <c r="A145" s="4">
        <v>50</v>
      </c>
      <c r="B145" s="4">
        <v>1</v>
      </c>
      <c r="C145" s="4">
        <v>0</v>
      </c>
      <c r="D145" s="4">
        <v>2</v>
      </c>
      <c r="E145" s="4">
        <v>0</v>
      </c>
      <c r="F145" s="4">
        <f>ROUND(F144,O145)</f>
        <v>8158008.7300000004</v>
      </c>
      <c r="G145" s="4" t="s">
        <v>239</v>
      </c>
      <c r="H145" s="4" t="s">
        <v>240</v>
      </c>
      <c r="I145" s="4"/>
      <c r="J145" s="4"/>
      <c r="K145" s="4">
        <v>212</v>
      </c>
      <c r="L145" s="4">
        <v>28</v>
      </c>
      <c r="M145" s="4">
        <v>0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8158008.7300000004</v>
      </c>
      <c r="X145" s="4">
        <v>1</v>
      </c>
      <c r="Y145" s="4">
        <v>8158008.7300000004</v>
      </c>
      <c r="Z145" s="4"/>
      <c r="AA145" s="4"/>
      <c r="AB145" s="4"/>
    </row>
    <row r="146" spans="1:245" x14ac:dyDescent="0.2">
      <c r="A146" s="4">
        <v>50</v>
      </c>
      <c r="B146" s="4">
        <v>1</v>
      </c>
      <c r="C146" s="4">
        <v>0</v>
      </c>
      <c r="D146" s="4">
        <v>2</v>
      </c>
      <c r="E146" s="4">
        <v>0</v>
      </c>
      <c r="F146" s="4">
        <f>ROUND(F145*0.2,O146)</f>
        <v>1631601.75</v>
      </c>
      <c r="G146" s="4" t="s">
        <v>241</v>
      </c>
      <c r="H146" s="4" t="s">
        <v>242</v>
      </c>
      <c r="I146" s="4"/>
      <c r="J146" s="4"/>
      <c r="K146" s="4">
        <v>212</v>
      </c>
      <c r="L146" s="4">
        <v>29</v>
      </c>
      <c r="M146" s="4">
        <v>0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1631601.75</v>
      </c>
      <c r="X146" s="4">
        <v>1</v>
      </c>
      <c r="Y146" s="4">
        <v>1631601.75</v>
      </c>
      <c r="Z146" s="4"/>
      <c r="AA146" s="4"/>
      <c r="AB146" s="4"/>
    </row>
    <row r="147" spans="1:245" x14ac:dyDescent="0.2">
      <c r="A147" s="4">
        <v>50</v>
      </c>
      <c r="B147" s="4">
        <v>1</v>
      </c>
      <c r="C147" s="4">
        <v>0</v>
      </c>
      <c r="D147" s="4">
        <v>2</v>
      </c>
      <c r="E147" s="4">
        <v>213</v>
      </c>
      <c r="F147" s="4">
        <f>ROUND(F145+F146,O147)</f>
        <v>9789610.4800000004</v>
      </c>
      <c r="G147" s="4" t="s">
        <v>243</v>
      </c>
      <c r="H147" s="4" t="s">
        <v>237</v>
      </c>
      <c r="I147" s="4"/>
      <c r="J147" s="4"/>
      <c r="K147" s="4">
        <v>212</v>
      </c>
      <c r="L147" s="4">
        <v>30</v>
      </c>
      <c r="M147" s="4">
        <v>0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9789610.4800000004</v>
      </c>
      <c r="X147" s="4">
        <v>1</v>
      </c>
      <c r="Y147" s="4">
        <v>9789610.4800000004</v>
      </c>
      <c r="Z147" s="4"/>
      <c r="AA147" s="4"/>
      <c r="AB147" s="4"/>
    </row>
    <row r="149" spans="1:245" x14ac:dyDescent="0.2">
      <c r="A149" s="1">
        <v>3</v>
      </c>
      <c r="B149" s="1">
        <v>1</v>
      </c>
      <c r="C149" s="1"/>
      <c r="D149" s="1">
        <f>ROW(A232)</f>
        <v>232</v>
      </c>
      <c r="E149" s="1"/>
      <c r="F149" s="1" t="s">
        <v>12</v>
      </c>
      <c r="G149" s="1" t="s">
        <v>244</v>
      </c>
      <c r="H149" s="1" t="s">
        <v>3</v>
      </c>
      <c r="I149" s="1">
        <v>0</v>
      </c>
      <c r="J149" s="1" t="s">
        <v>3</v>
      </c>
      <c r="K149" s="1">
        <v>0</v>
      </c>
      <c r="L149" s="1" t="s">
        <v>12</v>
      </c>
      <c r="M149" s="1" t="s">
        <v>3</v>
      </c>
      <c r="N149" s="1"/>
      <c r="O149" s="1"/>
      <c r="P149" s="1"/>
      <c r="Q149" s="1"/>
      <c r="R149" s="1"/>
      <c r="S149" s="1">
        <v>0</v>
      </c>
      <c r="T149" s="1"/>
      <c r="U149" s="1" t="s">
        <v>3</v>
      </c>
      <c r="V149" s="1">
        <v>0</v>
      </c>
      <c r="W149" s="1"/>
      <c r="X149" s="1"/>
      <c r="Y149" s="1"/>
      <c r="Z149" s="1"/>
      <c r="AA149" s="1"/>
      <c r="AB149" s="1" t="s">
        <v>3</v>
      </c>
      <c r="AC149" s="1" t="s">
        <v>3</v>
      </c>
      <c r="AD149" s="1" t="s">
        <v>3</v>
      </c>
      <c r="AE149" s="1" t="s">
        <v>3</v>
      </c>
      <c r="AF149" s="1" t="s">
        <v>3</v>
      </c>
      <c r="AG149" s="1" t="s">
        <v>3</v>
      </c>
      <c r="AH149" s="1"/>
      <c r="AI149" s="1"/>
      <c r="AJ149" s="1"/>
      <c r="AK149" s="1"/>
      <c r="AL149" s="1"/>
      <c r="AM149" s="1"/>
      <c r="AN149" s="1"/>
      <c r="AO149" s="1"/>
      <c r="AP149" s="1" t="s">
        <v>3</v>
      </c>
      <c r="AQ149" s="1" t="s">
        <v>3</v>
      </c>
      <c r="AR149" s="1" t="s">
        <v>3</v>
      </c>
      <c r="AS149" s="1"/>
      <c r="AT149" s="1"/>
      <c r="AU149" s="1"/>
      <c r="AV149" s="1"/>
      <c r="AW149" s="1"/>
      <c r="AX149" s="1"/>
      <c r="AY149" s="1"/>
      <c r="AZ149" s="1" t="s">
        <v>3</v>
      </c>
      <c r="BA149" s="1"/>
      <c r="BB149" s="1" t="s">
        <v>3</v>
      </c>
      <c r="BC149" s="1" t="s">
        <v>3</v>
      </c>
      <c r="BD149" s="1" t="s">
        <v>3</v>
      </c>
      <c r="BE149" s="1" t="s">
        <v>3</v>
      </c>
      <c r="BF149" s="1" t="s">
        <v>3</v>
      </c>
      <c r="BG149" s="1" t="s">
        <v>3</v>
      </c>
      <c r="BH149" s="1" t="s">
        <v>3</v>
      </c>
      <c r="BI149" s="1" t="s">
        <v>3</v>
      </c>
      <c r="BJ149" s="1" t="s">
        <v>3</v>
      </c>
      <c r="BK149" s="1" t="s">
        <v>3</v>
      </c>
      <c r="BL149" s="1" t="s">
        <v>3</v>
      </c>
      <c r="BM149" s="1" t="s">
        <v>3</v>
      </c>
      <c r="BN149" s="1" t="s">
        <v>3</v>
      </c>
      <c r="BO149" s="1" t="s">
        <v>3</v>
      </c>
      <c r="BP149" s="1" t="s">
        <v>3</v>
      </c>
      <c r="BQ149" s="1"/>
      <c r="BR149" s="1"/>
      <c r="BS149" s="1"/>
      <c r="BT149" s="1"/>
      <c r="BU149" s="1"/>
      <c r="BV149" s="1"/>
      <c r="BW149" s="1"/>
      <c r="BX149" s="1">
        <v>0</v>
      </c>
      <c r="BY149" s="1"/>
      <c r="BZ149" s="1"/>
      <c r="CA149" s="1"/>
      <c r="CB149" s="1"/>
      <c r="CC149" s="1"/>
      <c r="CD149" s="1"/>
      <c r="CE149" s="1"/>
      <c r="CF149" s="1">
        <v>0</v>
      </c>
      <c r="CG149" s="1">
        <v>0</v>
      </c>
      <c r="CH149" s="1"/>
      <c r="CI149" s="1" t="s">
        <v>3</v>
      </c>
      <c r="CJ149" s="1" t="s">
        <v>3</v>
      </c>
      <c r="CK149" t="s">
        <v>3</v>
      </c>
      <c r="CL149" t="s">
        <v>3</v>
      </c>
      <c r="CM149" t="s">
        <v>3</v>
      </c>
      <c r="CN149" t="s">
        <v>3</v>
      </c>
      <c r="CO149" t="s">
        <v>3</v>
      </c>
      <c r="CP149" t="s">
        <v>3</v>
      </c>
      <c r="CQ149" t="s">
        <v>3</v>
      </c>
    </row>
    <row r="151" spans="1:245" x14ac:dyDescent="0.2">
      <c r="A151" s="2">
        <v>52</v>
      </c>
      <c r="B151" s="2">
        <f t="shared" ref="B151:G151" si="103">B232</f>
        <v>1</v>
      </c>
      <c r="C151" s="2">
        <f t="shared" si="103"/>
        <v>3</v>
      </c>
      <c r="D151" s="2">
        <f t="shared" si="103"/>
        <v>149</v>
      </c>
      <c r="E151" s="2">
        <f t="shared" si="103"/>
        <v>0</v>
      </c>
      <c r="F151" s="2" t="str">
        <f t="shared" si="103"/>
        <v>Новая локальная смета</v>
      </c>
      <c r="G151" s="2" t="str">
        <f t="shared" si="103"/>
        <v>Декорационное оформление</v>
      </c>
      <c r="H151" s="2"/>
      <c r="I151" s="2"/>
      <c r="J151" s="2"/>
      <c r="K151" s="2"/>
      <c r="L151" s="2"/>
      <c r="M151" s="2"/>
      <c r="N151" s="2"/>
      <c r="O151" s="2">
        <f t="shared" ref="O151:AT151" si="104">O232</f>
        <v>14027181.33</v>
      </c>
      <c r="P151" s="2">
        <f t="shared" si="104"/>
        <v>14027181.33</v>
      </c>
      <c r="Q151" s="2">
        <f t="shared" si="104"/>
        <v>0</v>
      </c>
      <c r="R151" s="2">
        <f t="shared" si="104"/>
        <v>0</v>
      </c>
      <c r="S151" s="2">
        <f t="shared" si="104"/>
        <v>0</v>
      </c>
      <c r="T151" s="2">
        <f t="shared" si="104"/>
        <v>0</v>
      </c>
      <c r="U151" s="2">
        <f t="shared" si="104"/>
        <v>0</v>
      </c>
      <c r="V151" s="2">
        <f t="shared" si="104"/>
        <v>0</v>
      </c>
      <c r="W151" s="2">
        <f t="shared" si="104"/>
        <v>0</v>
      </c>
      <c r="X151" s="2">
        <f t="shared" si="104"/>
        <v>0</v>
      </c>
      <c r="Y151" s="2">
        <f t="shared" si="104"/>
        <v>0</v>
      </c>
      <c r="Z151" s="2">
        <f t="shared" si="104"/>
        <v>0</v>
      </c>
      <c r="AA151" s="2">
        <f t="shared" si="104"/>
        <v>0</v>
      </c>
      <c r="AB151" s="2">
        <f t="shared" si="104"/>
        <v>0</v>
      </c>
      <c r="AC151" s="2">
        <f t="shared" si="104"/>
        <v>0</v>
      </c>
      <c r="AD151" s="2">
        <f t="shared" si="104"/>
        <v>0</v>
      </c>
      <c r="AE151" s="2">
        <f t="shared" si="104"/>
        <v>0</v>
      </c>
      <c r="AF151" s="2">
        <f t="shared" si="104"/>
        <v>0</v>
      </c>
      <c r="AG151" s="2">
        <f t="shared" si="104"/>
        <v>0</v>
      </c>
      <c r="AH151" s="2">
        <f t="shared" si="104"/>
        <v>0</v>
      </c>
      <c r="AI151" s="2">
        <f t="shared" si="104"/>
        <v>0</v>
      </c>
      <c r="AJ151" s="2">
        <f t="shared" si="104"/>
        <v>0</v>
      </c>
      <c r="AK151" s="2">
        <f t="shared" si="104"/>
        <v>0</v>
      </c>
      <c r="AL151" s="2">
        <f t="shared" si="104"/>
        <v>0</v>
      </c>
      <c r="AM151" s="2">
        <f t="shared" si="104"/>
        <v>0</v>
      </c>
      <c r="AN151" s="2">
        <f t="shared" si="104"/>
        <v>0</v>
      </c>
      <c r="AO151" s="2">
        <f t="shared" si="104"/>
        <v>0</v>
      </c>
      <c r="AP151" s="2">
        <f t="shared" si="104"/>
        <v>0</v>
      </c>
      <c r="AQ151" s="2">
        <f t="shared" si="104"/>
        <v>0</v>
      </c>
      <c r="AR151" s="2">
        <f t="shared" si="104"/>
        <v>14027181.33</v>
      </c>
      <c r="AS151" s="2">
        <f t="shared" si="104"/>
        <v>14027181.33</v>
      </c>
      <c r="AT151" s="2">
        <f t="shared" si="104"/>
        <v>0</v>
      </c>
      <c r="AU151" s="2">
        <f t="shared" ref="AU151:BZ151" si="105">AU232</f>
        <v>0</v>
      </c>
      <c r="AV151" s="2">
        <f t="shared" si="105"/>
        <v>14027181.33</v>
      </c>
      <c r="AW151" s="2">
        <f t="shared" si="105"/>
        <v>14027181.33</v>
      </c>
      <c r="AX151" s="2">
        <f t="shared" si="105"/>
        <v>0</v>
      </c>
      <c r="AY151" s="2">
        <f t="shared" si="105"/>
        <v>14027181.33</v>
      </c>
      <c r="AZ151" s="2">
        <f t="shared" si="105"/>
        <v>0</v>
      </c>
      <c r="BA151" s="2">
        <f t="shared" si="105"/>
        <v>0</v>
      </c>
      <c r="BB151" s="2">
        <f t="shared" si="105"/>
        <v>0</v>
      </c>
      <c r="BC151" s="2">
        <f t="shared" si="105"/>
        <v>0</v>
      </c>
      <c r="BD151" s="2">
        <f t="shared" si="105"/>
        <v>0</v>
      </c>
      <c r="BE151" s="2">
        <f t="shared" si="105"/>
        <v>0</v>
      </c>
      <c r="BF151" s="2">
        <f t="shared" si="105"/>
        <v>0</v>
      </c>
      <c r="BG151" s="2">
        <f t="shared" si="105"/>
        <v>0</v>
      </c>
      <c r="BH151" s="2">
        <f t="shared" si="105"/>
        <v>0</v>
      </c>
      <c r="BI151" s="2">
        <f t="shared" si="105"/>
        <v>0</v>
      </c>
      <c r="BJ151" s="2">
        <f t="shared" si="105"/>
        <v>0</v>
      </c>
      <c r="BK151" s="2">
        <f t="shared" si="105"/>
        <v>0</v>
      </c>
      <c r="BL151" s="2">
        <f t="shared" si="105"/>
        <v>0</v>
      </c>
      <c r="BM151" s="2">
        <f t="shared" si="105"/>
        <v>0</v>
      </c>
      <c r="BN151" s="2">
        <f t="shared" si="105"/>
        <v>0</v>
      </c>
      <c r="BO151" s="2">
        <f t="shared" si="105"/>
        <v>0</v>
      </c>
      <c r="BP151" s="2">
        <f t="shared" si="105"/>
        <v>0</v>
      </c>
      <c r="BQ151" s="2">
        <f t="shared" si="105"/>
        <v>0</v>
      </c>
      <c r="BR151" s="2">
        <f t="shared" si="105"/>
        <v>0</v>
      </c>
      <c r="BS151" s="2">
        <f t="shared" si="105"/>
        <v>0</v>
      </c>
      <c r="BT151" s="2">
        <f t="shared" si="105"/>
        <v>0</v>
      </c>
      <c r="BU151" s="2">
        <f t="shared" si="105"/>
        <v>0</v>
      </c>
      <c r="BV151" s="2">
        <f t="shared" si="105"/>
        <v>0</v>
      </c>
      <c r="BW151" s="2">
        <f t="shared" si="105"/>
        <v>0</v>
      </c>
      <c r="BX151" s="2">
        <f t="shared" si="105"/>
        <v>0</v>
      </c>
      <c r="BY151" s="2">
        <f t="shared" si="105"/>
        <v>0</v>
      </c>
      <c r="BZ151" s="2">
        <f t="shared" si="105"/>
        <v>0</v>
      </c>
      <c r="CA151" s="2">
        <f t="shared" ref="CA151:DF151" si="106">CA232</f>
        <v>0</v>
      </c>
      <c r="CB151" s="2">
        <f t="shared" si="106"/>
        <v>0</v>
      </c>
      <c r="CC151" s="2">
        <f t="shared" si="106"/>
        <v>0</v>
      </c>
      <c r="CD151" s="2">
        <f t="shared" si="106"/>
        <v>0</v>
      </c>
      <c r="CE151" s="2">
        <f t="shared" si="106"/>
        <v>0</v>
      </c>
      <c r="CF151" s="2">
        <f t="shared" si="106"/>
        <v>0</v>
      </c>
      <c r="CG151" s="2">
        <f t="shared" si="106"/>
        <v>0</v>
      </c>
      <c r="CH151" s="2">
        <f t="shared" si="106"/>
        <v>0</v>
      </c>
      <c r="CI151" s="2">
        <f t="shared" si="106"/>
        <v>0</v>
      </c>
      <c r="CJ151" s="2">
        <f t="shared" si="106"/>
        <v>0</v>
      </c>
      <c r="CK151" s="2">
        <f t="shared" si="106"/>
        <v>0</v>
      </c>
      <c r="CL151" s="2">
        <f t="shared" si="106"/>
        <v>0</v>
      </c>
      <c r="CM151" s="2">
        <f t="shared" si="106"/>
        <v>0</v>
      </c>
      <c r="CN151" s="2">
        <f t="shared" si="106"/>
        <v>0</v>
      </c>
      <c r="CO151" s="2">
        <f t="shared" si="106"/>
        <v>0</v>
      </c>
      <c r="CP151" s="2">
        <f t="shared" si="106"/>
        <v>0</v>
      </c>
      <c r="CQ151" s="2">
        <f t="shared" si="106"/>
        <v>0</v>
      </c>
      <c r="CR151" s="2">
        <f t="shared" si="106"/>
        <v>0</v>
      </c>
      <c r="CS151" s="2">
        <f t="shared" si="106"/>
        <v>0</v>
      </c>
      <c r="CT151" s="2">
        <f t="shared" si="106"/>
        <v>0</v>
      </c>
      <c r="CU151" s="2">
        <f t="shared" si="106"/>
        <v>0</v>
      </c>
      <c r="CV151" s="2">
        <f t="shared" si="106"/>
        <v>0</v>
      </c>
      <c r="CW151" s="2">
        <f t="shared" si="106"/>
        <v>0</v>
      </c>
      <c r="CX151" s="2">
        <f t="shared" si="106"/>
        <v>0</v>
      </c>
      <c r="CY151" s="2">
        <f t="shared" si="106"/>
        <v>0</v>
      </c>
      <c r="CZ151" s="2">
        <f t="shared" si="106"/>
        <v>0</v>
      </c>
      <c r="DA151" s="2">
        <f t="shared" si="106"/>
        <v>0</v>
      </c>
      <c r="DB151" s="2">
        <f t="shared" si="106"/>
        <v>0</v>
      </c>
      <c r="DC151" s="2">
        <f t="shared" si="106"/>
        <v>0</v>
      </c>
      <c r="DD151" s="2">
        <f t="shared" si="106"/>
        <v>0</v>
      </c>
      <c r="DE151" s="2">
        <f t="shared" si="106"/>
        <v>0</v>
      </c>
      <c r="DF151" s="2">
        <f t="shared" si="106"/>
        <v>0</v>
      </c>
      <c r="DG151" s="3">
        <f t="shared" ref="DG151:EL151" si="107">DG232</f>
        <v>0</v>
      </c>
      <c r="DH151" s="3">
        <f t="shared" si="107"/>
        <v>0</v>
      </c>
      <c r="DI151" s="3">
        <f t="shared" si="107"/>
        <v>0</v>
      </c>
      <c r="DJ151" s="3">
        <f t="shared" si="107"/>
        <v>0</v>
      </c>
      <c r="DK151" s="3">
        <f t="shared" si="107"/>
        <v>0</v>
      </c>
      <c r="DL151" s="3">
        <f t="shared" si="107"/>
        <v>0</v>
      </c>
      <c r="DM151" s="3">
        <f t="shared" si="107"/>
        <v>0</v>
      </c>
      <c r="DN151" s="3">
        <f t="shared" si="107"/>
        <v>0</v>
      </c>
      <c r="DO151" s="3">
        <f t="shared" si="107"/>
        <v>0</v>
      </c>
      <c r="DP151" s="3">
        <f t="shared" si="107"/>
        <v>0</v>
      </c>
      <c r="DQ151" s="3">
        <f t="shared" si="107"/>
        <v>0</v>
      </c>
      <c r="DR151" s="3">
        <f t="shared" si="107"/>
        <v>0</v>
      </c>
      <c r="DS151" s="3">
        <f t="shared" si="107"/>
        <v>0</v>
      </c>
      <c r="DT151" s="3">
        <f t="shared" si="107"/>
        <v>0</v>
      </c>
      <c r="DU151" s="3">
        <f t="shared" si="107"/>
        <v>0</v>
      </c>
      <c r="DV151" s="3">
        <f t="shared" si="107"/>
        <v>0</v>
      </c>
      <c r="DW151" s="3">
        <f t="shared" si="107"/>
        <v>0</v>
      </c>
      <c r="DX151" s="3">
        <f t="shared" si="107"/>
        <v>0</v>
      </c>
      <c r="DY151" s="3">
        <f t="shared" si="107"/>
        <v>0</v>
      </c>
      <c r="DZ151" s="3">
        <f t="shared" si="107"/>
        <v>0</v>
      </c>
      <c r="EA151" s="3">
        <f t="shared" si="107"/>
        <v>0</v>
      </c>
      <c r="EB151" s="3">
        <f t="shared" si="107"/>
        <v>0</v>
      </c>
      <c r="EC151" s="3">
        <f t="shared" si="107"/>
        <v>0</v>
      </c>
      <c r="ED151" s="3">
        <f t="shared" si="107"/>
        <v>0</v>
      </c>
      <c r="EE151" s="3">
        <f t="shared" si="107"/>
        <v>0</v>
      </c>
      <c r="EF151" s="3">
        <f t="shared" si="107"/>
        <v>0</v>
      </c>
      <c r="EG151" s="3">
        <f t="shared" si="107"/>
        <v>0</v>
      </c>
      <c r="EH151" s="3">
        <f t="shared" si="107"/>
        <v>0</v>
      </c>
      <c r="EI151" s="3">
        <f t="shared" si="107"/>
        <v>0</v>
      </c>
      <c r="EJ151" s="3">
        <f t="shared" si="107"/>
        <v>0</v>
      </c>
      <c r="EK151" s="3">
        <f t="shared" si="107"/>
        <v>0</v>
      </c>
      <c r="EL151" s="3">
        <f t="shared" si="107"/>
        <v>0</v>
      </c>
      <c r="EM151" s="3">
        <f t="shared" ref="EM151:FR151" si="108">EM232</f>
        <v>0</v>
      </c>
      <c r="EN151" s="3">
        <f t="shared" si="108"/>
        <v>0</v>
      </c>
      <c r="EO151" s="3">
        <f t="shared" si="108"/>
        <v>0</v>
      </c>
      <c r="EP151" s="3">
        <f t="shared" si="108"/>
        <v>0</v>
      </c>
      <c r="EQ151" s="3">
        <f t="shared" si="108"/>
        <v>0</v>
      </c>
      <c r="ER151" s="3">
        <f t="shared" si="108"/>
        <v>0</v>
      </c>
      <c r="ES151" s="3">
        <f t="shared" si="108"/>
        <v>0</v>
      </c>
      <c r="ET151" s="3">
        <f t="shared" si="108"/>
        <v>0</v>
      </c>
      <c r="EU151" s="3">
        <f t="shared" si="108"/>
        <v>0</v>
      </c>
      <c r="EV151" s="3">
        <f t="shared" si="108"/>
        <v>0</v>
      </c>
      <c r="EW151" s="3">
        <f t="shared" si="108"/>
        <v>0</v>
      </c>
      <c r="EX151" s="3">
        <f t="shared" si="108"/>
        <v>0</v>
      </c>
      <c r="EY151" s="3">
        <f t="shared" si="108"/>
        <v>0</v>
      </c>
      <c r="EZ151" s="3">
        <f t="shared" si="108"/>
        <v>0</v>
      </c>
      <c r="FA151" s="3">
        <f t="shared" si="108"/>
        <v>0</v>
      </c>
      <c r="FB151" s="3">
        <f t="shared" si="108"/>
        <v>0</v>
      </c>
      <c r="FC151" s="3">
        <f t="shared" si="108"/>
        <v>0</v>
      </c>
      <c r="FD151" s="3">
        <f t="shared" si="108"/>
        <v>0</v>
      </c>
      <c r="FE151" s="3">
        <f t="shared" si="108"/>
        <v>0</v>
      </c>
      <c r="FF151" s="3">
        <f t="shared" si="108"/>
        <v>0</v>
      </c>
      <c r="FG151" s="3">
        <f t="shared" si="108"/>
        <v>0</v>
      </c>
      <c r="FH151" s="3">
        <f t="shared" si="108"/>
        <v>0</v>
      </c>
      <c r="FI151" s="3">
        <f t="shared" si="108"/>
        <v>0</v>
      </c>
      <c r="FJ151" s="3">
        <f t="shared" si="108"/>
        <v>0</v>
      </c>
      <c r="FK151" s="3">
        <f t="shared" si="108"/>
        <v>0</v>
      </c>
      <c r="FL151" s="3">
        <f t="shared" si="108"/>
        <v>0</v>
      </c>
      <c r="FM151" s="3">
        <f t="shared" si="108"/>
        <v>0</v>
      </c>
      <c r="FN151" s="3">
        <f t="shared" si="108"/>
        <v>0</v>
      </c>
      <c r="FO151" s="3">
        <f t="shared" si="108"/>
        <v>0</v>
      </c>
      <c r="FP151" s="3">
        <f t="shared" si="108"/>
        <v>0</v>
      </c>
      <c r="FQ151" s="3">
        <f t="shared" si="108"/>
        <v>0</v>
      </c>
      <c r="FR151" s="3">
        <f t="shared" si="108"/>
        <v>0</v>
      </c>
      <c r="FS151" s="3">
        <f t="shared" ref="FS151:GX151" si="109">FS232</f>
        <v>0</v>
      </c>
      <c r="FT151" s="3">
        <f t="shared" si="109"/>
        <v>0</v>
      </c>
      <c r="FU151" s="3">
        <f t="shared" si="109"/>
        <v>0</v>
      </c>
      <c r="FV151" s="3">
        <f t="shared" si="109"/>
        <v>0</v>
      </c>
      <c r="FW151" s="3">
        <f t="shared" si="109"/>
        <v>0</v>
      </c>
      <c r="FX151" s="3">
        <f t="shared" si="109"/>
        <v>0</v>
      </c>
      <c r="FY151" s="3">
        <f t="shared" si="109"/>
        <v>0</v>
      </c>
      <c r="FZ151" s="3">
        <f t="shared" si="109"/>
        <v>0</v>
      </c>
      <c r="GA151" s="3">
        <f t="shared" si="109"/>
        <v>0</v>
      </c>
      <c r="GB151" s="3">
        <f t="shared" si="109"/>
        <v>0</v>
      </c>
      <c r="GC151" s="3">
        <f t="shared" si="109"/>
        <v>0</v>
      </c>
      <c r="GD151" s="3">
        <f t="shared" si="109"/>
        <v>0</v>
      </c>
      <c r="GE151" s="3">
        <f t="shared" si="109"/>
        <v>0</v>
      </c>
      <c r="GF151" s="3">
        <f t="shared" si="109"/>
        <v>0</v>
      </c>
      <c r="GG151" s="3">
        <f t="shared" si="109"/>
        <v>0</v>
      </c>
      <c r="GH151" s="3">
        <f t="shared" si="109"/>
        <v>0</v>
      </c>
      <c r="GI151" s="3">
        <f t="shared" si="109"/>
        <v>0</v>
      </c>
      <c r="GJ151" s="3">
        <f t="shared" si="109"/>
        <v>0</v>
      </c>
      <c r="GK151" s="3">
        <f t="shared" si="109"/>
        <v>0</v>
      </c>
      <c r="GL151" s="3">
        <f t="shared" si="109"/>
        <v>0</v>
      </c>
      <c r="GM151" s="3">
        <f t="shared" si="109"/>
        <v>0</v>
      </c>
      <c r="GN151" s="3">
        <f t="shared" si="109"/>
        <v>0</v>
      </c>
      <c r="GO151" s="3">
        <f t="shared" si="109"/>
        <v>0</v>
      </c>
      <c r="GP151" s="3">
        <f t="shared" si="109"/>
        <v>0</v>
      </c>
      <c r="GQ151" s="3">
        <f t="shared" si="109"/>
        <v>0</v>
      </c>
      <c r="GR151" s="3">
        <f t="shared" si="109"/>
        <v>0</v>
      </c>
      <c r="GS151" s="3">
        <f t="shared" si="109"/>
        <v>0</v>
      </c>
      <c r="GT151" s="3">
        <f t="shared" si="109"/>
        <v>0</v>
      </c>
      <c r="GU151" s="3">
        <f t="shared" si="109"/>
        <v>0</v>
      </c>
      <c r="GV151" s="3">
        <f t="shared" si="109"/>
        <v>0</v>
      </c>
      <c r="GW151" s="3">
        <f t="shared" si="109"/>
        <v>0</v>
      </c>
      <c r="GX151" s="3">
        <f t="shared" si="109"/>
        <v>0</v>
      </c>
    </row>
    <row r="153" spans="1:245" x14ac:dyDescent="0.2">
      <c r="A153" s="1">
        <v>4</v>
      </c>
      <c r="B153" s="1">
        <v>1</v>
      </c>
      <c r="C153" s="1"/>
      <c r="D153" s="1">
        <f>ROW(A159)</f>
        <v>159</v>
      </c>
      <c r="E153" s="1"/>
      <c r="F153" s="1" t="s">
        <v>13</v>
      </c>
      <c r="G153" s="1" t="s">
        <v>245</v>
      </c>
      <c r="H153" s="1" t="s">
        <v>3</v>
      </c>
      <c r="I153" s="1">
        <v>0</v>
      </c>
      <c r="J153" s="1"/>
      <c r="K153" s="1">
        <v>0</v>
      </c>
      <c r="L153" s="1"/>
      <c r="M153" s="1" t="s">
        <v>3</v>
      </c>
      <c r="N153" s="1"/>
      <c r="O153" s="1"/>
      <c r="P153" s="1"/>
      <c r="Q153" s="1"/>
      <c r="R153" s="1"/>
      <c r="S153" s="1">
        <v>0</v>
      </c>
      <c r="T153" s="1"/>
      <c r="U153" s="1" t="s">
        <v>3</v>
      </c>
      <c r="V153" s="1">
        <v>0</v>
      </c>
      <c r="W153" s="1"/>
      <c r="X153" s="1"/>
      <c r="Y153" s="1"/>
      <c r="Z153" s="1"/>
      <c r="AA153" s="1"/>
      <c r="AB153" s="1" t="s">
        <v>3</v>
      </c>
      <c r="AC153" s="1" t="s">
        <v>3</v>
      </c>
      <c r="AD153" s="1" t="s">
        <v>3</v>
      </c>
      <c r="AE153" s="1" t="s">
        <v>3</v>
      </c>
      <c r="AF153" s="1" t="s">
        <v>3</v>
      </c>
      <c r="AG153" s="1" t="s">
        <v>3</v>
      </c>
      <c r="AH153" s="1"/>
      <c r="AI153" s="1"/>
      <c r="AJ153" s="1"/>
      <c r="AK153" s="1"/>
      <c r="AL153" s="1"/>
      <c r="AM153" s="1"/>
      <c r="AN153" s="1"/>
      <c r="AO153" s="1"/>
      <c r="AP153" s="1" t="s">
        <v>3</v>
      </c>
      <c r="AQ153" s="1" t="s">
        <v>3</v>
      </c>
      <c r="AR153" s="1" t="s">
        <v>3</v>
      </c>
      <c r="AS153" s="1"/>
      <c r="AT153" s="1"/>
      <c r="AU153" s="1"/>
      <c r="AV153" s="1"/>
      <c r="AW153" s="1"/>
      <c r="AX153" s="1"/>
      <c r="AY153" s="1"/>
      <c r="AZ153" s="1" t="s">
        <v>3</v>
      </c>
      <c r="BA153" s="1"/>
      <c r="BB153" s="1" t="s">
        <v>3</v>
      </c>
      <c r="BC153" s="1" t="s">
        <v>3</v>
      </c>
      <c r="BD153" s="1" t="s">
        <v>3</v>
      </c>
      <c r="BE153" s="1" t="s">
        <v>3</v>
      </c>
      <c r="BF153" s="1" t="s">
        <v>3</v>
      </c>
      <c r="BG153" s="1" t="s">
        <v>3</v>
      </c>
      <c r="BH153" s="1" t="s">
        <v>3</v>
      </c>
      <c r="BI153" s="1" t="s">
        <v>3</v>
      </c>
      <c r="BJ153" s="1" t="s">
        <v>3</v>
      </c>
      <c r="BK153" s="1" t="s">
        <v>3</v>
      </c>
      <c r="BL153" s="1" t="s">
        <v>3</v>
      </c>
      <c r="BM153" s="1" t="s">
        <v>3</v>
      </c>
      <c r="BN153" s="1" t="s">
        <v>3</v>
      </c>
      <c r="BO153" s="1" t="s">
        <v>3</v>
      </c>
      <c r="BP153" s="1" t="s">
        <v>3</v>
      </c>
      <c r="BQ153" s="1"/>
      <c r="BR153" s="1"/>
      <c r="BS153" s="1"/>
      <c r="BT153" s="1"/>
      <c r="BU153" s="1"/>
      <c r="BV153" s="1"/>
      <c r="BW153" s="1"/>
      <c r="BX153" s="1">
        <v>0</v>
      </c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>
        <v>0</v>
      </c>
    </row>
    <row r="155" spans="1:245" x14ac:dyDescent="0.2">
      <c r="A155" s="2">
        <v>52</v>
      </c>
      <c r="B155" s="2">
        <f t="shared" ref="B155:G155" si="110">B159</f>
        <v>1</v>
      </c>
      <c r="C155" s="2">
        <f t="shared" si="110"/>
        <v>4</v>
      </c>
      <c r="D155" s="2">
        <f t="shared" si="110"/>
        <v>153</v>
      </c>
      <c r="E155" s="2">
        <f t="shared" si="110"/>
        <v>0</v>
      </c>
      <c r="F155" s="2" t="str">
        <f t="shared" si="110"/>
        <v>Новый раздел</v>
      </c>
      <c r="G155" s="2" t="str">
        <f t="shared" si="110"/>
        <v>Разработка дизайн-проекта</v>
      </c>
      <c r="H155" s="2"/>
      <c r="I155" s="2"/>
      <c r="J155" s="2"/>
      <c r="K155" s="2"/>
      <c r="L155" s="2"/>
      <c r="M155" s="2"/>
      <c r="N155" s="2"/>
      <c r="O155" s="2">
        <f t="shared" ref="O155:AT155" si="111">O159</f>
        <v>1948150.23</v>
      </c>
      <c r="P155" s="2">
        <f t="shared" si="111"/>
        <v>1948150.23</v>
      </c>
      <c r="Q155" s="2">
        <f t="shared" si="111"/>
        <v>0</v>
      </c>
      <c r="R155" s="2">
        <f t="shared" si="111"/>
        <v>0</v>
      </c>
      <c r="S155" s="2">
        <f t="shared" si="111"/>
        <v>0</v>
      </c>
      <c r="T155" s="2">
        <f t="shared" si="111"/>
        <v>0</v>
      </c>
      <c r="U155" s="2">
        <f t="shared" si="111"/>
        <v>0</v>
      </c>
      <c r="V155" s="2">
        <f t="shared" si="111"/>
        <v>0</v>
      </c>
      <c r="W155" s="2">
        <f t="shared" si="111"/>
        <v>0</v>
      </c>
      <c r="X155" s="2">
        <f t="shared" si="111"/>
        <v>0</v>
      </c>
      <c r="Y155" s="2">
        <f t="shared" si="111"/>
        <v>0</v>
      </c>
      <c r="Z155" s="2">
        <f t="shared" si="111"/>
        <v>0</v>
      </c>
      <c r="AA155" s="2">
        <f t="shared" si="111"/>
        <v>0</v>
      </c>
      <c r="AB155" s="2">
        <f t="shared" si="111"/>
        <v>1948150.23</v>
      </c>
      <c r="AC155" s="2">
        <f t="shared" si="111"/>
        <v>1948150.23</v>
      </c>
      <c r="AD155" s="2">
        <f t="shared" si="111"/>
        <v>0</v>
      </c>
      <c r="AE155" s="2">
        <f t="shared" si="111"/>
        <v>0</v>
      </c>
      <c r="AF155" s="2">
        <f t="shared" si="111"/>
        <v>0</v>
      </c>
      <c r="AG155" s="2">
        <f t="shared" si="111"/>
        <v>0</v>
      </c>
      <c r="AH155" s="2">
        <f t="shared" si="111"/>
        <v>0</v>
      </c>
      <c r="AI155" s="2">
        <f t="shared" si="111"/>
        <v>0</v>
      </c>
      <c r="AJ155" s="2">
        <f t="shared" si="111"/>
        <v>0</v>
      </c>
      <c r="AK155" s="2">
        <f t="shared" si="111"/>
        <v>0</v>
      </c>
      <c r="AL155" s="2">
        <f t="shared" si="111"/>
        <v>0</v>
      </c>
      <c r="AM155" s="2">
        <f t="shared" si="111"/>
        <v>0</v>
      </c>
      <c r="AN155" s="2">
        <f t="shared" si="111"/>
        <v>0</v>
      </c>
      <c r="AO155" s="2">
        <f t="shared" si="111"/>
        <v>0</v>
      </c>
      <c r="AP155" s="2">
        <f t="shared" si="111"/>
        <v>0</v>
      </c>
      <c r="AQ155" s="2">
        <f t="shared" si="111"/>
        <v>0</v>
      </c>
      <c r="AR155" s="2">
        <f t="shared" si="111"/>
        <v>1948150.23</v>
      </c>
      <c r="AS155" s="2">
        <f t="shared" si="111"/>
        <v>1948150.23</v>
      </c>
      <c r="AT155" s="2">
        <f t="shared" si="111"/>
        <v>0</v>
      </c>
      <c r="AU155" s="2">
        <f t="shared" ref="AU155:BZ155" si="112">AU159</f>
        <v>0</v>
      </c>
      <c r="AV155" s="2">
        <f t="shared" si="112"/>
        <v>1948150.23</v>
      </c>
      <c r="AW155" s="2">
        <f t="shared" si="112"/>
        <v>1948150.23</v>
      </c>
      <c r="AX155" s="2">
        <f t="shared" si="112"/>
        <v>0</v>
      </c>
      <c r="AY155" s="2">
        <f t="shared" si="112"/>
        <v>1948150.23</v>
      </c>
      <c r="AZ155" s="2">
        <f t="shared" si="112"/>
        <v>0</v>
      </c>
      <c r="BA155" s="2">
        <f t="shared" si="112"/>
        <v>0</v>
      </c>
      <c r="BB155" s="2">
        <f t="shared" si="112"/>
        <v>0</v>
      </c>
      <c r="BC155" s="2">
        <f t="shared" si="112"/>
        <v>0</v>
      </c>
      <c r="BD155" s="2">
        <f t="shared" si="112"/>
        <v>0</v>
      </c>
      <c r="BE155" s="2">
        <f t="shared" si="112"/>
        <v>0</v>
      </c>
      <c r="BF155" s="2">
        <f t="shared" si="112"/>
        <v>0</v>
      </c>
      <c r="BG155" s="2">
        <f t="shared" si="112"/>
        <v>0</v>
      </c>
      <c r="BH155" s="2">
        <f t="shared" si="112"/>
        <v>0</v>
      </c>
      <c r="BI155" s="2">
        <f t="shared" si="112"/>
        <v>0</v>
      </c>
      <c r="BJ155" s="2">
        <f t="shared" si="112"/>
        <v>0</v>
      </c>
      <c r="BK155" s="2">
        <f t="shared" si="112"/>
        <v>0</v>
      </c>
      <c r="BL155" s="2">
        <f t="shared" si="112"/>
        <v>0</v>
      </c>
      <c r="BM155" s="2">
        <f t="shared" si="112"/>
        <v>0</v>
      </c>
      <c r="BN155" s="2">
        <f t="shared" si="112"/>
        <v>0</v>
      </c>
      <c r="BO155" s="2">
        <f t="shared" si="112"/>
        <v>0</v>
      </c>
      <c r="BP155" s="2">
        <f t="shared" si="112"/>
        <v>0</v>
      </c>
      <c r="BQ155" s="2">
        <f t="shared" si="112"/>
        <v>0</v>
      </c>
      <c r="BR155" s="2">
        <f t="shared" si="112"/>
        <v>0</v>
      </c>
      <c r="BS155" s="2">
        <f t="shared" si="112"/>
        <v>0</v>
      </c>
      <c r="BT155" s="2">
        <f t="shared" si="112"/>
        <v>0</v>
      </c>
      <c r="BU155" s="2">
        <f t="shared" si="112"/>
        <v>0</v>
      </c>
      <c r="BV155" s="2">
        <f t="shared" si="112"/>
        <v>0</v>
      </c>
      <c r="BW155" s="2">
        <f t="shared" si="112"/>
        <v>0</v>
      </c>
      <c r="BX155" s="2">
        <f t="shared" si="112"/>
        <v>0</v>
      </c>
      <c r="BY155" s="2">
        <f t="shared" si="112"/>
        <v>0</v>
      </c>
      <c r="BZ155" s="2">
        <f t="shared" si="112"/>
        <v>0</v>
      </c>
      <c r="CA155" s="2">
        <f t="shared" ref="CA155:DF155" si="113">CA159</f>
        <v>1948150.23</v>
      </c>
      <c r="CB155" s="2">
        <f t="shared" si="113"/>
        <v>1948150.23</v>
      </c>
      <c r="CC155" s="2">
        <f t="shared" si="113"/>
        <v>0</v>
      </c>
      <c r="CD155" s="2">
        <f t="shared" si="113"/>
        <v>0</v>
      </c>
      <c r="CE155" s="2">
        <f t="shared" si="113"/>
        <v>1948150.23</v>
      </c>
      <c r="CF155" s="2">
        <f t="shared" si="113"/>
        <v>1948150.23</v>
      </c>
      <c r="CG155" s="2">
        <f t="shared" si="113"/>
        <v>0</v>
      </c>
      <c r="CH155" s="2">
        <f t="shared" si="113"/>
        <v>1948150.23</v>
      </c>
      <c r="CI155" s="2">
        <f t="shared" si="113"/>
        <v>0</v>
      </c>
      <c r="CJ155" s="2">
        <f t="shared" si="113"/>
        <v>0</v>
      </c>
      <c r="CK155" s="2">
        <f t="shared" si="113"/>
        <v>0</v>
      </c>
      <c r="CL155" s="2">
        <f t="shared" si="113"/>
        <v>0</v>
      </c>
      <c r="CM155" s="2">
        <f t="shared" si="113"/>
        <v>0</v>
      </c>
      <c r="CN155" s="2">
        <f t="shared" si="113"/>
        <v>0</v>
      </c>
      <c r="CO155" s="2">
        <f t="shared" si="113"/>
        <v>0</v>
      </c>
      <c r="CP155" s="2">
        <f t="shared" si="113"/>
        <v>0</v>
      </c>
      <c r="CQ155" s="2">
        <f t="shared" si="113"/>
        <v>0</v>
      </c>
      <c r="CR155" s="2">
        <f t="shared" si="113"/>
        <v>0</v>
      </c>
      <c r="CS155" s="2">
        <f t="shared" si="113"/>
        <v>0</v>
      </c>
      <c r="CT155" s="2">
        <f t="shared" si="113"/>
        <v>0</v>
      </c>
      <c r="CU155" s="2">
        <f t="shared" si="113"/>
        <v>0</v>
      </c>
      <c r="CV155" s="2">
        <f t="shared" si="113"/>
        <v>0</v>
      </c>
      <c r="CW155" s="2">
        <f t="shared" si="113"/>
        <v>0</v>
      </c>
      <c r="CX155" s="2">
        <f t="shared" si="113"/>
        <v>0</v>
      </c>
      <c r="CY155" s="2">
        <f t="shared" si="113"/>
        <v>0</v>
      </c>
      <c r="CZ155" s="2">
        <f t="shared" si="113"/>
        <v>0</v>
      </c>
      <c r="DA155" s="2">
        <f t="shared" si="113"/>
        <v>0</v>
      </c>
      <c r="DB155" s="2">
        <f t="shared" si="113"/>
        <v>0</v>
      </c>
      <c r="DC155" s="2">
        <f t="shared" si="113"/>
        <v>0</v>
      </c>
      <c r="DD155" s="2">
        <f t="shared" si="113"/>
        <v>0</v>
      </c>
      <c r="DE155" s="2">
        <f t="shared" si="113"/>
        <v>0</v>
      </c>
      <c r="DF155" s="2">
        <f t="shared" si="113"/>
        <v>0</v>
      </c>
      <c r="DG155" s="3">
        <f t="shared" ref="DG155:EL155" si="114">DG159</f>
        <v>0</v>
      </c>
      <c r="DH155" s="3">
        <f t="shared" si="114"/>
        <v>0</v>
      </c>
      <c r="DI155" s="3">
        <f t="shared" si="114"/>
        <v>0</v>
      </c>
      <c r="DJ155" s="3">
        <f t="shared" si="114"/>
        <v>0</v>
      </c>
      <c r="DK155" s="3">
        <f t="shared" si="114"/>
        <v>0</v>
      </c>
      <c r="DL155" s="3">
        <f t="shared" si="114"/>
        <v>0</v>
      </c>
      <c r="DM155" s="3">
        <f t="shared" si="114"/>
        <v>0</v>
      </c>
      <c r="DN155" s="3">
        <f t="shared" si="114"/>
        <v>0</v>
      </c>
      <c r="DO155" s="3">
        <f t="shared" si="114"/>
        <v>0</v>
      </c>
      <c r="DP155" s="3">
        <f t="shared" si="114"/>
        <v>0</v>
      </c>
      <c r="DQ155" s="3">
        <f t="shared" si="114"/>
        <v>0</v>
      </c>
      <c r="DR155" s="3">
        <f t="shared" si="114"/>
        <v>0</v>
      </c>
      <c r="DS155" s="3">
        <f t="shared" si="114"/>
        <v>0</v>
      </c>
      <c r="DT155" s="3">
        <f t="shared" si="114"/>
        <v>0</v>
      </c>
      <c r="DU155" s="3">
        <f t="shared" si="114"/>
        <v>0</v>
      </c>
      <c r="DV155" s="3">
        <f t="shared" si="114"/>
        <v>0</v>
      </c>
      <c r="DW155" s="3">
        <f t="shared" si="114"/>
        <v>0</v>
      </c>
      <c r="DX155" s="3">
        <f t="shared" si="114"/>
        <v>0</v>
      </c>
      <c r="DY155" s="3">
        <f t="shared" si="114"/>
        <v>0</v>
      </c>
      <c r="DZ155" s="3">
        <f t="shared" si="114"/>
        <v>0</v>
      </c>
      <c r="EA155" s="3">
        <f t="shared" si="114"/>
        <v>0</v>
      </c>
      <c r="EB155" s="3">
        <f t="shared" si="114"/>
        <v>0</v>
      </c>
      <c r="EC155" s="3">
        <f t="shared" si="114"/>
        <v>0</v>
      </c>
      <c r="ED155" s="3">
        <f t="shared" si="114"/>
        <v>0</v>
      </c>
      <c r="EE155" s="3">
        <f t="shared" si="114"/>
        <v>0</v>
      </c>
      <c r="EF155" s="3">
        <f t="shared" si="114"/>
        <v>0</v>
      </c>
      <c r="EG155" s="3">
        <f t="shared" si="114"/>
        <v>0</v>
      </c>
      <c r="EH155" s="3">
        <f t="shared" si="114"/>
        <v>0</v>
      </c>
      <c r="EI155" s="3">
        <f t="shared" si="114"/>
        <v>0</v>
      </c>
      <c r="EJ155" s="3">
        <f t="shared" si="114"/>
        <v>0</v>
      </c>
      <c r="EK155" s="3">
        <f t="shared" si="114"/>
        <v>0</v>
      </c>
      <c r="EL155" s="3">
        <f t="shared" si="114"/>
        <v>0</v>
      </c>
      <c r="EM155" s="3">
        <f t="shared" ref="EM155:FR155" si="115">EM159</f>
        <v>0</v>
      </c>
      <c r="EN155" s="3">
        <f t="shared" si="115"/>
        <v>0</v>
      </c>
      <c r="EO155" s="3">
        <f t="shared" si="115"/>
        <v>0</v>
      </c>
      <c r="EP155" s="3">
        <f t="shared" si="115"/>
        <v>0</v>
      </c>
      <c r="EQ155" s="3">
        <f t="shared" si="115"/>
        <v>0</v>
      </c>
      <c r="ER155" s="3">
        <f t="shared" si="115"/>
        <v>0</v>
      </c>
      <c r="ES155" s="3">
        <f t="shared" si="115"/>
        <v>0</v>
      </c>
      <c r="ET155" s="3">
        <f t="shared" si="115"/>
        <v>0</v>
      </c>
      <c r="EU155" s="3">
        <f t="shared" si="115"/>
        <v>0</v>
      </c>
      <c r="EV155" s="3">
        <f t="shared" si="115"/>
        <v>0</v>
      </c>
      <c r="EW155" s="3">
        <f t="shared" si="115"/>
        <v>0</v>
      </c>
      <c r="EX155" s="3">
        <f t="shared" si="115"/>
        <v>0</v>
      </c>
      <c r="EY155" s="3">
        <f t="shared" si="115"/>
        <v>0</v>
      </c>
      <c r="EZ155" s="3">
        <f t="shared" si="115"/>
        <v>0</v>
      </c>
      <c r="FA155" s="3">
        <f t="shared" si="115"/>
        <v>0</v>
      </c>
      <c r="FB155" s="3">
        <f t="shared" si="115"/>
        <v>0</v>
      </c>
      <c r="FC155" s="3">
        <f t="shared" si="115"/>
        <v>0</v>
      </c>
      <c r="FD155" s="3">
        <f t="shared" si="115"/>
        <v>0</v>
      </c>
      <c r="FE155" s="3">
        <f t="shared" si="115"/>
        <v>0</v>
      </c>
      <c r="FF155" s="3">
        <f t="shared" si="115"/>
        <v>0</v>
      </c>
      <c r="FG155" s="3">
        <f t="shared" si="115"/>
        <v>0</v>
      </c>
      <c r="FH155" s="3">
        <f t="shared" si="115"/>
        <v>0</v>
      </c>
      <c r="FI155" s="3">
        <f t="shared" si="115"/>
        <v>0</v>
      </c>
      <c r="FJ155" s="3">
        <f t="shared" si="115"/>
        <v>0</v>
      </c>
      <c r="FK155" s="3">
        <f t="shared" si="115"/>
        <v>0</v>
      </c>
      <c r="FL155" s="3">
        <f t="shared" si="115"/>
        <v>0</v>
      </c>
      <c r="FM155" s="3">
        <f t="shared" si="115"/>
        <v>0</v>
      </c>
      <c r="FN155" s="3">
        <f t="shared" si="115"/>
        <v>0</v>
      </c>
      <c r="FO155" s="3">
        <f t="shared" si="115"/>
        <v>0</v>
      </c>
      <c r="FP155" s="3">
        <f t="shared" si="115"/>
        <v>0</v>
      </c>
      <c r="FQ155" s="3">
        <f t="shared" si="115"/>
        <v>0</v>
      </c>
      <c r="FR155" s="3">
        <f t="shared" si="115"/>
        <v>0</v>
      </c>
      <c r="FS155" s="3">
        <f t="shared" ref="FS155:GX155" si="116">FS159</f>
        <v>0</v>
      </c>
      <c r="FT155" s="3">
        <f t="shared" si="116"/>
        <v>0</v>
      </c>
      <c r="FU155" s="3">
        <f t="shared" si="116"/>
        <v>0</v>
      </c>
      <c r="FV155" s="3">
        <f t="shared" si="116"/>
        <v>0</v>
      </c>
      <c r="FW155" s="3">
        <f t="shared" si="116"/>
        <v>0</v>
      </c>
      <c r="FX155" s="3">
        <f t="shared" si="116"/>
        <v>0</v>
      </c>
      <c r="FY155" s="3">
        <f t="shared" si="116"/>
        <v>0</v>
      </c>
      <c r="FZ155" s="3">
        <f t="shared" si="116"/>
        <v>0</v>
      </c>
      <c r="GA155" s="3">
        <f t="shared" si="116"/>
        <v>0</v>
      </c>
      <c r="GB155" s="3">
        <f t="shared" si="116"/>
        <v>0</v>
      </c>
      <c r="GC155" s="3">
        <f t="shared" si="116"/>
        <v>0</v>
      </c>
      <c r="GD155" s="3">
        <f t="shared" si="116"/>
        <v>0</v>
      </c>
      <c r="GE155" s="3">
        <f t="shared" si="116"/>
        <v>0</v>
      </c>
      <c r="GF155" s="3">
        <f t="shared" si="116"/>
        <v>0</v>
      </c>
      <c r="GG155" s="3">
        <f t="shared" si="116"/>
        <v>0</v>
      </c>
      <c r="GH155" s="3">
        <f t="shared" si="116"/>
        <v>0</v>
      </c>
      <c r="GI155" s="3">
        <f t="shared" si="116"/>
        <v>0</v>
      </c>
      <c r="GJ155" s="3">
        <f t="shared" si="116"/>
        <v>0</v>
      </c>
      <c r="GK155" s="3">
        <f t="shared" si="116"/>
        <v>0</v>
      </c>
      <c r="GL155" s="3">
        <f t="shared" si="116"/>
        <v>0</v>
      </c>
      <c r="GM155" s="3">
        <f t="shared" si="116"/>
        <v>0</v>
      </c>
      <c r="GN155" s="3">
        <f t="shared" si="116"/>
        <v>0</v>
      </c>
      <c r="GO155" s="3">
        <f t="shared" si="116"/>
        <v>0</v>
      </c>
      <c r="GP155" s="3">
        <f t="shared" si="116"/>
        <v>0</v>
      </c>
      <c r="GQ155" s="3">
        <f t="shared" si="116"/>
        <v>0</v>
      </c>
      <c r="GR155" s="3">
        <f t="shared" si="116"/>
        <v>0</v>
      </c>
      <c r="GS155" s="3">
        <f t="shared" si="116"/>
        <v>0</v>
      </c>
      <c r="GT155" s="3">
        <f t="shared" si="116"/>
        <v>0</v>
      </c>
      <c r="GU155" s="3">
        <f t="shared" si="116"/>
        <v>0</v>
      </c>
      <c r="GV155" s="3">
        <f t="shared" si="116"/>
        <v>0</v>
      </c>
      <c r="GW155" s="3">
        <f t="shared" si="116"/>
        <v>0</v>
      </c>
      <c r="GX155" s="3">
        <f t="shared" si="116"/>
        <v>0</v>
      </c>
    </row>
    <row r="157" spans="1:245" x14ac:dyDescent="0.2">
      <c r="A157">
        <v>17</v>
      </c>
      <c r="B157">
        <v>1</v>
      </c>
      <c r="E157" t="s">
        <v>15</v>
      </c>
      <c r="F157" t="s">
        <v>24</v>
      </c>
      <c r="G157" t="s">
        <v>245</v>
      </c>
      <c r="H157" t="s">
        <v>18</v>
      </c>
      <c r="I157">
        <v>1</v>
      </c>
      <c r="J157">
        <v>0</v>
      </c>
      <c r="K157">
        <v>1</v>
      </c>
      <c r="O157">
        <f>ROUND(CP157,2)</f>
        <v>1948150.23</v>
      </c>
      <c r="P157">
        <f>ROUND(CQ157*I157,2)</f>
        <v>1948150.23</v>
      </c>
      <c r="Q157">
        <f>ROUND(CR157*I157,2)</f>
        <v>0</v>
      </c>
      <c r="R157">
        <f>ROUND(CS157*I157,2)</f>
        <v>0</v>
      </c>
      <c r="S157">
        <f>ROUND(CT157*I157,2)</f>
        <v>0</v>
      </c>
      <c r="T157">
        <f>ROUND(CU157*I157,2)</f>
        <v>0</v>
      </c>
      <c r="U157">
        <f>CV157*I157</f>
        <v>0</v>
      </c>
      <c r="V157">
        <f>CW157*I157</f>
        <v>0</v>
      </c>
      <c r="W157">
        <f>ROUND(CX157*I157,2)</f>
        <v>0</v>
      </c>
      <c r="X157">
        <f>ROUND(CY157,2)</f>
        <v>0</v>
      </c>
      <c r="Y157">
        <f>ROUND(CZ157,2)</f>
        <v>0</v>
      </c>
      <c r="AA157">
        <v>81141517</v>
      </c>
      <c r="AB157">
        <f>ROUND((AC157+AD157+AF157),6)</f>
        <v>1948150.23</v>
      </c>
      <c r="AC157">
        <f>ROUND((ES157),6)</f>
        <v>1948150.23</v>
      </c>
      <c r="AD157">
        <f>ROUND((((ET157)-(EU157))+AE157),6)</f>
        <v>0</v>
      </c>
      <c r="AE157">
        <f>ROUND((EU157),6)</f>
        <v>0</v>
      </c>
      <c r="AF157">
        <f>ROUND((EV157),6)</f>
        <v>0</v>
      </c>
      <c r="AG157">
        <f>ROUND((AP157),6)</f>
        <v>0</v>
      </c>
      <c r="AH157">
        <f>(EW157)</f>
        <v>0</v>
      </c>
      <c r="AI157">
        <f>(EX157)</f>
        <v>0</v>
      </c>
      <c r="AJ157">
        <f>(AS157)</f>
        <v>0</v>
      </c>
      <c r="AK157">
        <v>1948150.23</v>
      </c>
      <c r="AL157">
        <v>1948150.23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3</v>
      </c>
      <c r="BI157">
        <v>1</v>
      </c>
      <c r="BJ157" t="s">
        <v>3</v>
      </c>
      <c r="BM157">
        <v>6001</v>
      </c>
      <c r="BN157">
        <v>0</v>
      </c>
      <c r="BO157" t="s">
        <v>3</v>
      </c>
      <c r="BP157">
        <v>0</v>
      </c>
      <c r="BQ157">
        <v>0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0</v>
      </c>
      <c r="CA157">
        <v>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>(P157+Q157+S157)</f>
        <v>1948150.23</v>
      </c>
      <c r="CQ157">
        <f>(AC157*BC157*AW157)</f>
        <v>1948150.23</v>
      </c>
      <c r="CR157">
        <f>((((ET157)*BB157-(EU157)*BS157)+AE157*BS157)*AV157)</f>
        <v>0</v>
      </c>
      <c r="CS157">
        <f>(AE157*BS157*AV157)</f>
        <v>0</v>
      </c>
      <c r="CT157">
        <f>(AF157*BA157*AV157)</f>
        <v>0</v>
      </c>
      <c r="CU157">
        <f>AG157</f>
        <v>0</v>
      </c>
      <c r="CV157">
        <f>(AH157*AV157)</f>
        <v>0</v>
      </c>
      <c r="CW157">
        <f>AI157</f>
        <v>0</v>
      </c>
      <c r="CX157">
        <f>AJ157</f>
        <v>0</v>
      </c>
      <c r="CY157">
        <f>((S157*BZ157)/100)</f>
        <v>0</v>
      </c>
      <c r="CZ157">
        <f>((S157*CA157)/100)</f>
        <v>0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1010</v>
      </c>
      <c r="DV157" t="s">
        <v>18</v>
      </c>
      <c r="DW157" t="s">
        <v>18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80847375</v>
      </c>
      <c r="EF157">
        <v>0</v>
      </c>
      <c r="EG157" t="s">
        <v>246</v>
      </c>
      <c r="EH157">
        <v>0</v>
      </c>
      <c r="EI157" t="s">
        <v>3</v>
      </c>
      <c r="EJ157">
        <v>1</v>
      </c>
      <c r="EK157">
        <v>6001</v>
      </c>
      <c r="EL157" t="s">
        <v>247</v>
      </c>
      <c r="EM157" t="s">
        <v>246</v>
      </c>
      <c r="EO157" t="s">
        <v>3</v>
      </c>
      <c r="EQ157">
        <v>0</v>
      </c>
      <c r="ER157">
        <v>1948150.23</v>
      </c>
      <c r="ES157">
        <v>1948150.23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EZ157">
        <v>5</v>
      </c>
      <c r="FC157">
        <v>1</v>
      </c>
      <c r="FD157">
        <v>18</v>
      </c>
      <c r="FF157">
        <v>2337780.27</v>
      </c>
      <c r="FQ157">
        <v>0</v>
      </c>
      <c r="FR157">
        <v>0</v>
      </c>
      <c r="FS157">
        <v>0</v>
      </c>
      <c r="FX157">
        <v>0</v>
      </c>
      <c r="FY157">
        <v>0</v>
      </c>
      <c r="GA157" t="s">
        <v>248</v>
      </c>
      <c r="GD157">
        <v>0</v>
      </c>
      <c r="GF157">
        <v>1286138718</v>
      </c>
      <c r="GG157">
        <v>2</v>
      </c>
      <c r="GH157">
        <v>3</v>
      </c>
      <c r="GI157">
        <v>-2</v>
      </c>
      <c r="GJ157">
        <v>0</v>
      </c>
      <c r="GK157">
        <f>ROUND(R157*(R12)/100,2)</f>
        <v>0</v>
      </c>
      <c r="GL157">
        <f>ROUND(IF(AND(BH157=3,BI157=3,FS157&lt;&gt;0),P157,0),2)</f>
        <v>0</v>
      </c>
      <c r="GM157">
        <f>ROUND(O157+X157+Y157+GK157,2)+GX157</f>
        <v>1948150.23</v>
      </c>
      <c r="GN157">
        <f>IF(OR(BI157=0,BI157=1),GM157-GX157,0)</f>
        <v>1948150.23</v>
      </c>
      <c r="GO157">
        <f>IF(BI157=2,GM157-GX157,0)</f>
        <v>0</v>
      </c>
      <c r="GP157">
        <f>IF(BI157=4,GM157-GX157,0)</f>
        <v>0</v>
      </c>
      <c r="GR157">
        <v>1</v>
      </c>
      <c r="GS157">
        <v>1</v>
      </c>
      <c r="GT157">
        <v>0</v>
      </c>
      <c r="GU157" t="s">
        <v>3</v>
      </c>
      <c r="GV157">
        <f>ROUND((GT157),6)</f>
        <v>0</v>
      </c>
      <c r="GW157">
        <v>1</v>
      </c>
      <c r="GX157">
        <f>ROUND(HC157*I157,2)</f>
        <v>0</v>
      </c>
      <c r="HA157">
        <v>0</v>
      </c>
      <c r="HB157">
        <v>0</v>
      </c>
      <c r="HC157">
        <f>GV157*GW157</f>
        <v>0</v>
      </c>
      <c r="HE157" t="s">
        <v>27</v>
      </c>
      <c r="HF157" t="s">
        <v>27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HS157">
        <v>0</v>
      </c>
      <c r="IK157">
        <v>0</v>
      </c>
    </row>
    <row r="159" spans="1:245" x14ac:dyDescent="0.2">
      <c r="A159" s="2">
        <v>51</v>
      </c>
      <c r="B159" s="2">
        <f>B153</f>
        <v>1</v>
      </c>
      <c r="C159" s="2">
        <f>A153</f>
        <v>4</v>
      </c>
      <c r="D159" s="2">
        <f>ROW(A153)</f>
        <v>153</v>
      </c>
      <c r="E159" s="2"/>
      <c r="F159" s="2" t="str">
        <f>IF(F153&lt;&gt;"",F153,"")</f>
        <v>Новый раздел</v>
      </c>
      <c r="G159" s="2" t="str">
        <f>IF(G153&lt;&gt;"",G153,"")</f>
        <v>Разработка дизайн-проекта</v>
      </c>
      <c r="H159" s="2">
        <v>0</v>
      </c>
      <c r="I159" s="2"/>
      <c r="J159" s="2"/>
      <c r="K159" s="2"/>
      <c r="L159" s="2"/>
      <c r="M159" s="2"/>
      <c r="N159" s="2"/>
      <c r="O159" s="2">
        <f t="shared" ref="O159:T159" si="117">ROUND(AB159,2)</f>
        <v>1948150.23</v>
      </c>
      <c r="P159" s="2">
        <f t="shared" si="117"/>
        <v>1948150.23</v>
      </c>
      <c r="Q159" s="2">
        <f t="shared" si="117"/>
        <v>0</v>
      </c>
      <c r="R159" s="2">
        <f t="shared" si="117"/>
        <v>0</v>
      </c>
      <c r="S159" s="2">
        <f t="shared" si="117"/>
        <v>0</v>
      </c>
      <c r="T159" s="2">
        <f t="shared" si="117"/>
        <v>0</v>
      </c>
      <c r="U159" s="2">
        <f>AH159</f>
        <v>0</v>
      </c>
      <c r="V159" s="2">
        <f>AI159</f>
        <v>0</v>
      </c>
      <c r="W159" s="2">
        <f>ROUND(AJ159,2)</f>
        <v>0</v>
      </c>
      <c r="X159" s="2">
        <f>ROUND(AK159,2)</f>
        <v>0</v>
      </c>
      <c r="Y159" s="2">
        <f>ROUND(AL159,2)</f>
        <v>0</v>
      </c>
      <c r="Z159" s="2"/>
      <c r="AA159" s="2"/>
      <c r="AB159" s="2">
        <f>ROUND(SUMIF(AA157:AA157,"=81141517",O157:O157),2)</f>
        <v>1948150.23</v>
      </c>
      <c r="AC159" s="2">
        <f>ROUND(SUMIF(AA157:AA157,"=81141517",P157:P157),2)</f>
        <v>1948150.23</v>
      </c>
      <c r="AD159" s="2">
        <f>ROUND(SUMIF(AA157:AA157,"=81141517",Q157:Q157),2)</f>
        <v>0</v>
      </c>
      <c r="AE159" s="2">
        <f>ROUND(SUMIF(AA157:AA157,"=81141517",R157:R157),2)</f>
        <v>0</v>
      </c>
      <c r="AF159" s="2">
        <f>ROUND(SUMIF(AA157:AA157,"=81141517",S157:S157),2)</f>
        <v>0</v>
      </c>
      <c r="AG159" s="2">
        <f>ROUND(SUMIF(AA157:AA157,"=81141517",T157:T157),2)</f>
        <v>0</v>
      </c>
      <c r="AH159" s="2">
        <f>SUMIF(AA157:AA157,"=81141517",U157:U157)</f>
        <v>0</v>
      </c>
      <c r="AI159" s="2">
        <f>SUMIF(AA157:AA157,"=81141517",V157:V157)</f>
        <v>0</v>
      </c>
      <c r="AJ159" s="2">
        <f>ROUND(SUMIF(AA157:AA157,"=81141517",W157:W157),2)</f>
        <v>0</v>
      </c>
      <c r="AK159" s="2">
        <f>ROUND(SUMIF(AA157:AA157,"=81141517",X157:X157),2)</f>
        <v>0</v>
      </c>
      <c r="AL159" s="2">
        <f>ROUND(SUMIF(AA157:AA157,"=81141517",Y157:Y157),2)</f>
        <v>0</v>
      </c>
      <c r="AM159" s="2"/>
      <c r="AN159" s="2"/>
      <c r="AO159" s="2">
        <f t="shared" ref="AO159:BD159" si="118">ROUND(BX159,2)</f>
        <v>0</v>
      </c>
      <c r="AP159" s="2">
        <f t="shared" si="118"/>
        <v>0</v>
      </c>
      <c r="AQ159" s="2">
        <f t="shared" si="118"/>
        <v>0</v>
      </c>
      <c r="AR159" s="2">
        <f t="shared" si="118"/>
        <v>1948150.23</v>
      </c>
      <c r="AS159" s="2">
        <f t="shared" si="118"/>
        <v>1948150.23</v>
      </c>
      <c r="AT159" s="2">
        <f t="shared" si="118"/>
        <v>0</v>
      </c>
      <c r="AU159" s="2">
        <f t="shared" si="118"/>
        <v>0</v>
      </c>
      <c r="AV159" s="2">
        <f t="shared" si="118"/>
        <v>1948150.23</v>
      </c>
      <c r="AW159" s="2">
        <f t="shared" si="118"/>
        <v>1948150.23</v>
      </c>
      <c r="AX159" s="2">
        <f t="shared" si="118"/>
        <v>0</v>
      </c>
      <c r="AY159" s="2">
        <f t="shared" si="118"/>
        <v>1948150.23</v>
      </c>
      <c r="AZ159" s="2">
        <f t="shared" si="118"/>
        <v>0</v>
      </c>
      <c r="BA159" s="2">
        <f t="shared" si="118"/>
        <v>0</v>
      </c>
      <c r="BB159" s="2">
        <f t="shared" si="118"/>
        <v>0</v>
      </c>
      <c r="BC159" s="2">
        <f t="shared" si="118"/>
        <v>0</v>
      </c>
      <c r="BD159" s="2">
        <f t="shared" si="118"/>
        <v>0</v>
      </c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>
        <f>ROUND(SUMIF(AA157:AA157,"=81141517",FQ157:FQ157),2)</f>
        <v>0</v>
      </c>
      <c r="BY159" s="2">
        <f>ROUND(SUMIF(AA157:AA157,"=81141517",FR157:FR157),2)</f>
        <v>0</v>
      </c>
      <c r="BZ159" s="2">
        <f>ROUND(SUMIF(AA157:AA157,"=81141517",GL157:GL157),2)</f>
        <v>0</v>
      </c>
      <c r="CA159" s="2">
        <f>ROUND(SUMIF(AA157:AA157,"=81141517",GM157:GM157),2)</f>
        <v>1948150.23</v>
      </c>
      <c r="CB159" s="2">
        <f>ROUND(SUMIF(AA157:AA157,"=81141517",GN157:GN157),2)</f>
        <v>1948150.23</v>
      </c>
      <c r="CC159" s="2">
        <f>ROUND(SUMIF(AA157:AA157,"=81141517",GO157:GO157),2)</f>
        <v>0</v>
      </c>
      <c r="CD159" s="2">
        <f>ROUND(SUMIF(AA157:AA157,"=81141517",GP157:GP157),2)</f>
        <v>0</v>
      </c>
      <c r="CE159" s="2">
        <f>AC159-BX159</f>
        <v>1948150.23</v>
      </c>
      <c r="CF159" s="2">
        <f>AC159-BY159</f>
        <v>1948150.23</v>
      </c>
      <c r="CG159" s="2">
        <f>BX159-BZ159</f>
        <v>0</v>
      </c>
      <c r="CH159" s="2">
        <f>AC159-BX159-BY159+BZ159</f>
        <v>1948150.23</v>
      </c>
      <c r="CI159" s="2">
        <f>BY159-BZ159</f>
        <v>0</v>
      </c>
      <c r="CJ159" s="2">
        <f>ROUND(SUMIF(AA157:AA157,"=81141517",GX157:GX157),2)</f>
        <v>0</v>
      </c>
      <c r="CK159" s="2">
        <f>ROUND(SUMIF(AA157:AA157,"=81141517",GY157:GY157),2)</f>
        <v>0</v>
      </c>
      <c r="CL159" s="2">
        <f>ROUND(SUMIF(AA157:AA157,"=81141517",GZ157:GZ157),2)</f>
        <v>0</v>
      </c>
      <c r="CM159" s="2">
        <f>ROUND(SUMIF(AA157:AA157,"=81141517",HD157:HD157),2)</f>
        <v>0</v>
      </c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>
        <v>0</v>
      </c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201</v>
      </c>
      <c r="F161" s="4">
        <f>ROUND(Source!O159,O161)</f>
        <v>1948150.23</v>
      </c>
      <c r="G161" s="4" t="s">
        <v>185</v>
      </c>
      <c r="H161" s="4" t="s">
        <v>186</v>
      </c>
      <c r="I161" s="4"/>
      <c r="J161" s="4"/>
      <c r="K161" s="4">
        <v>201</v>
      </c>
      <c r="L161" s="4">
        <v>1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1948150.23</v>
      </c>
      <c r="X161" s="4">
        <v>1</v>
      </c>
      <c r="Y161" s="4">
        <v>1948150.23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202</v>
      </c>
      <c r="F162" s="4">
        <f>ROUND(Source!P159,O162)</f>
        <v>1948150.23</v>
      </c>
      <c r="G162" s="4" t="s">
        <v>187</v>
      </c>
      <c r="H162" s="4" t="s">
        <v>188</v>
      </c>
      <c r="I162" s="4"/>
      <c r="J162" s="4"/>
      <c r="K162" s="4">
        <v>202</v>
      </c>
      <c r="L162" s="4">
        <v>2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1948150.23</v>
      </c>
      <c r="X162" s="4">
        <v>1</v>
      </c>
      <c r="Y162" s="4">
        <v>1948150.23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222</v>
      </c>
      <c r="F163" s="4">
        <f>ROUND(Source!AO159,O163)</f>
        <v>0</v>
      </c>
      <c r="G163" s="4" t="s">
        <v>189</v>
      </c>
      <c r="H163" s="4" t="s">
        <v>190</v>
      </c>
      <c r="I163" s="4"/>
      <c r="J163" s="4"/>
      <c r="K163" s="4">
        <v>222</v>
      </c>
      <c r="L163" s="4">
        <v>3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225</v>
      </c>
      <c r="F164" s="4">
        <f>ROUND(Source!AV159,O164)</f>
        <v>1948150.23</v>
      </c>
      <c r="G164" s="4" t="s">
        <v>191</v>
      </c>
      <c r="H164" s="4" t="s">
        <v>192</v>
      </c>
      <c r="I164" s="4"/>
      <c r="J164" s="4"/>
      <c r="K164" s="4">
        <v>225</v>
      </c>
      <c r="L164" s="4">
        <v>4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1948150.23</v>
      </c>
      <c r="X164" s="4">
        <v>1</v>
      </c>
      <c r="Y164" s="4">
        <v>1948150.23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226</v>
      </c>
      <c r="F165" s="4">
        <f>ROUND(Source!AW159,O165)</f>
        <v>1948150.23</v>
      </c>
      <c r="G165" s="4" t="s">
        <v>193</v>
      </c>
      <c r="H165" s="4" t="s">
        <v>194</v>
      </c>
      <c r="I165" s="4"/>
      <c r="J165" s="4"/>
      <c r="K165" s="4">
        <v>226</v>
      </c>
      <c r="L165" s="4">
        <v>5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1948150.23</v>
      </c>
      <c r="X165" s="4">
        <v>1</v>
      </c>
      <c r="Y165" s="4">
        <v>1948150.23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227</v>
      </c>
      <c r="F166" s="4">
        <f>ROUND(Source!AX159,O166)</f>
        <v>0</v>
      </c>
      <c r="G166" s="4" t="s">
        <v>195</v>
      </c>
      <c r="H166" s="4" t="s">
        <v>196</v>
      </c>
      <c r="I166" s="4"/>
      <c r="J166" s="4"/>
      <c r="K166" s="4">
        <v>227</v>
      </c>
      <c r="L166" s="4">
        <v>6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228</v>
      </c>
      <c r="F167" s="4">
        <f>ROUND(Source!AY159,O167)</f>
        <v>1948150.23</v>
      </c>
      <c r="G167" s="4" t="s">
        <v>197</v>
      </c>
      <c r="H167" s="4" t="s">
        <v>198</v>
      </c>
      <c r="I167" s="4"/>
      <c r="J167" s="4"/>
      <c r="K167" s="4">
        <v>228</v>
      </c>
      <c r="L167" s="4">
        <v>7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1948150.23</v>
      </c>
      <c r="X167" s="4">
        <v>1</v>
      </c>
      <c r="Y167" s="4">
        <v>1948150.23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216</v>
      </c>
      <c r="F168" s="4">
        <f>ROUND(Source!AP159,O168)</f>
        <v>0</v>
      </c>
      <c r="G168" s="4" t="s">
        <v>199</v>
      </c>
      <c r="H168" s="4" t="s">
        <v>200</v>
      </c>
      <c r="I168" s="4"/>
      <c r="J168" s="4"/>
      <c r="K168" s="4">
        <v>216</v>
      </c>
      <c r="L168" s="4">
        <v>8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223</v>
      </c>
      <c r="F169" s="4">
        <f>ROUND(Source!AQ159,O169)</f>
        <v>0</v>
      </c>
      <c r="G169" s="4" t="s">
        <v>201</v>
      </c>
      <c r="H169" s="4" t="s">
        <v>202</v>
      </c>
      <c r="I169" s="4"/>
      <c r="J169" s="4"/>
      <c r="K169" s="4">
        <v>223</v>
      </c>
      <c r="L169" s="4">
        <v>9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229</v>
      </c>
      <c r="F170" s="4">
        <f>ROUND(Source!AZ159,O170)</f>
        <v>0</v>
      </c>
      <c r="G170" s="4" t="s">
        <v>203</v>
      </c>
      <c r="H170" s="4" t="s">
        <v>204</v>
      </c>
      <c r="I170" s="4"/>
      <c r="J170" s="4"/>
      <c r="K170" s="4">
        <v>229</v>
      </c>
      <c r="L170" s="4">
        <v>10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203</v>
      </c>
      <c r="F171" s="4">
        <f>ROUND(Source!Q159,O171)</f>
        <v>0</v>
      </c>
      <c r="G171" s="4" t="s">
        <v>205</v>
      </c>
      <c r="H171" s="4" t="s">
        <v>206</v>
      </c>
      <c r="I171" s="4"/>
      <c r="J171" s="4"/>
      <c r="K171" s="4">
        <v>203</v>
      </c>
      <c r="L171" s="4">
        <v>11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231</v>
      </c>
      <c r="F172" s="4">
        <f>ROUND(Source!BB159,O172)</f>
        <v>0</v>
      </c>
      <c r="G172" s="4" t="s">
        <v>207</v>
      </c>
      <c r="H172" s="4" t="s">
        <v>208</v>
      </c>
      <c r="I172" s="4"/>
      <c r="J172" s="4"/>
      <c r="K172" s="4">
        <v>231</v>
      </c>
      <c r="L172" s="4">
        <v>12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204</v>
      </c>
      <c r="F173" s="4">
        <f>ROUND(Source!R159,O173)</f>
        <v>0</v>
      </c>
      <c r="G173" s="4" t="s">
        <v>209</v>
      </c>
      <c r="H173" s="4" t="s">
        <v>210</v>
      </c>
      <c r="I173" s="4"/>
      <c r="J173" s="4"/>
      <c r="K173" s="4">
        <v>204</v>
      </c>
      <c r="L173" s="4">
        <v>13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205</v>
      </c>
      <c r="F174" s="4">
        <f>ROUND(Source!S159,O174)</f>
        <v>0</v>
      </c>
      <c r="G174" s="4" t="s">
        <v>211</v>
      </c>
      <c r="H174" s="4" t="s">
        <v>212</v>
      </c>
      <c r="I174" s="4"/>
      <c r="J174" s="4"/>
      <c r="K174" s="4">
        <v>205</v>
      </c>
      <c r="L174" s="4">
        <v>14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232</v>
      </c>
      <c r="F175" s="4">
        <f>ROUND(Source!BC159,O175)</f>
        <v>0</v>
      </c>
      <c r="G175" s="4" t="s">
        <v>213</v>
      </c>
      <c r="H175" s="4" t="s">
        <v>214</v>
      </c>
      <c r="I175" s="4"/>
      <c r="J175" s="4"/>
      <c r="K175" s="4">
        <v>232</v>
      </c>
      <c r="L175" s="4">
        <v>15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214</v>
      </c>
      <c r="F176" s="4">
        <f>ROUND(Source!AS159,O176)</f>
        <v>1948150.23</v>
      </c>
      <c r="G176" s="4" t="s">
        <v>215</v>
      </c>
      <c r="H176" s="4" t="s">
        <v>216</v>
      </c>
      <c r="I176" s="4"/>
      <c r="J176" s="4"/>
      <c r="K176" s="4">
        <v>214</v>
      </c>
      <c r="L176" s="4">
        <v>16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1948150.23</v>
      </c>
      <c r="X176" s="4">
        <v>1</v>
      </c>
      <c r="Y176" s="4">
        <v>1948150.23</v>
      </c>
      <c r="Z176" s="4"/>
      <c r="AA176" s="4"/>
      <c r="AB176" s="4"/>
    </row>
    <row r="177" spans="1:206" x14ac:dyDescent="0.2">
      <c r="A177" s="4">
        <v>50</v>
      </c>
      <c r="B177" s="4">
        <v>0</v>
      </c>
      <c r="C177" s="4">
        <v>0</v>
      </c>
      <c r="D177" s="4">
        <v>1</v>
      </c>
      <c r="E177" s="4">
        <v>215</v>
      </c>
      <c r="F177" s="4">
        <f>ROUND(Source!AT159,O177)</f>
        <v>0</v>
      </c>
      <c r="G177" s="4" t="s">
        <v>217</v>
      </c>
      <c r="H177" s="4" t="s">
        <v>218</v>
      </c>
      <c r="I177" s="4"/>
      <c r="J177" s="4"/>
      <c r="K177" s="4">
        <v>215</v>
      </c>
      <c r="L177" s="4">
        <v>17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06" x14ac:dyDescent="0.2">
      <c r="A178" s="4">
        <v>50</v>
      </c>
      <c r="B178" s="4">
        <v>0</v>
      </c>
      <c r="C178" s="4">
        <v>0</v>
      </c>
      <c r="D178" s="4">
        <v>1</v>
      </c>
      <c r="E178" s="4">
        <v>217</v>
      </c>
      <c r="F178" s="4">
        <f>ROUND(Source!AU159,O178)</f>
        <v>0</v>
      </c>
      <c r="G178" s="4" t="s">
        <v>219</v>
      </c>
      <c r="H178" s="4" t="s">
        <v>220</v>
      </c>
      <c r="I178" s="4"/>
      <c r="J178" s="4"/>
      <c r="K178" s="4">
        <v>217</v>
      </c>
      <c r="L178" s="4">
        <v>18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230</v>
      </c>
      <c r="F179" s="4">
        <f>ROUND(Source!BA159,O179)</f>
        <v>0</v>
      </c>
      <c r="G179" s="4" t="s">
        <v>221</v>
      </c>
      <c r="H179" s="4" t="s">
        <v>222</v>
      </c>
      <c r="I179" s="4"/>
      <c r="J179" s="4"/>
      <c r="K179" s="4">
        <v>230</v>
      </c>
      <c r="L179" s="4">
        <v>19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206</v>
      </c>
      <c r="F180" s="4">
        <f>ROUND(Source!T159,O180)</f>
        <v>0</v>
      </c>
      <c r="G180" s="4" t="s">
        <v>223</v>
      </c>
      <c r="H180" s="4" t="s">
        <v>224</v>
      </c>
      <c r="I180" s="4"/>
      <c r="J180" s="4"/>
      <c r="K180" s="4">
        <v>206</v>
      </c>
      <c r="L180" s="4">
        <v>20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207</v>
      </c>
      <c r="F181" s="4">
        <f>Source!U159</f>
        <v>0</v>
      </c>
      <c r="G181" s="4" t="s">
        <v>225</v>
      </c>
      <c r="H181" s="4" t="s">
        <v>226</v>
      </c>
      <c r="I181" s="4"/>
      <c r="J181" s="4"/>
      <c r="K181" s="4">
        <v>207</v>
      </c>
      <c r="L181" s="4">
        <v>21</v>
      </c>
      <c r="M181" s="4">
        <v>3</v>
      </c>
      <c r="N181" s="4" t="s">
        <v>3</v>
      </c>
      <c r="O181" s="4">
        <v>-1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208</v>
      </c>
      <c r="F182" s="4">
        <f>Source!V159</f>
        <v>0</v>
      </c>
      <c r="G182" s="4" t="s">
        <v>227</v>
      </c>
      <c r="H182" s="4" t="s">
        <v>228</v>
      </c>
      <c r="I182" s="4"/>
      <c r="J182" s="4"/>
      <c r="K182" s="4">
        <v>208</v>
      </c>
      <c r="L182" s="4">
        <v>22</v>
      </c>
      <c r="M182" s="4">
        <v>3</v>
      </c>
      <c r="N182" s="4" t="s">
        <v>3</v>
      </c>
      <c r="O182" s="4">
        <v>-1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209</v>
      </c>
      <c r="F183" s="4">
        <f>ROUND(Source!W159,O183)</f>
        <v>0</v>
      </c>
      <c r="G183" s="4" t="s">
        <v>229</v>
      </c>
      <c r="H183" s="4" t="s">
        <v>230</v>
      </c>
      <c r="I183" s="4"/>
      <c r="J183" s="4"/>
      <c r="K183" s="4">
        <v>209</v>
      </c>
      <c r="L183" s="4">
        <v>23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233</v>
      </c>
      <c r="F184" s="4">
        <f>ROUND(Source!BD159,O184)</f>
        <v>0</v>
      </c>
      <c r="G184" s="4" t="s">
        <v>231</v>
      </c>
      <c r="H184" s="4" t="s">
        <v>232</v>
      </c>
      <c r="I184" s="4"/>
      <c r="J184" s="4"/>
      <c r="K184" s="4">
        <v>233</v>
      </c>
      <c r="L184" s="4">
        <v>24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210</v>
      </c>
      <c r="F185" s="4">
        <f>ROUND(Source!X159,O185)</f>
        <v>0</v>
      </c>
      <c r="G185" s="4" t="s">
        <v>233</v>
      </c>
      <c r="H185" s="4" t="s">
        <v>234</v>
      </c>
      <c r="I185" s="4"/>
      <c r="J185" s="4"/>
      <c r="K185" s="4">
        <v>210</v>
      </c>
      <c r="L185" s="4">
        <v>25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211</v>
      </c>
      <c r="F186" s="4">
        <f>ROUND(Source!Y159,O186)</f>
        <v>0</v>
      </c>
      <c r="G186" s="4" t="s">
        <v>235</v>
      </c>
      <c r="H186" s="4" t="s">
        <v>236</v>
      </c>
      <c r="I186" s="4"/>
      <c r="J186" s="4"/>
      <c r="K186" s="4">
        <v>211</v>
      </c>
      <c r="L186" s="4">
        <v>26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224</v>
      </c>
      <c r="F187" s="4">
        <f>ROUND(Source!AR159,O187)</f>
        <v>1948150.23</v>
      </c>
      <c r="G187" s="4" t="s">
        <v>237</v>
      </c>
      <c r="H187" s="4" t="s">
        <v>238</v>
      </c>
      <c r="I187" s="4"/>
      <c r="J187" s="4"/>
      <c r="K187" s="4">
        <v>224</v>
      </c>
      <c r="L187" s="4">
        <v>27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1948150.23</v>
      </c>
      <c r="X187" s="4">
        <v>1</v>
      </c>
      <c r="Y187" s="4">
        <v>1948150.23</v>
      </c>
      <c r="Z187" s="4"/>
      <c r="AA187" s="4"/>
      <c r="AB187" s="4"/>
    </row>
    <row r="189" spans="1:206" x14ac:dyDescent="0.2">
      <c r="A189" s="1">
        <v>4</v>
      </c>
      <c r="B189" s="1">
        <v>1</v>
      </c>
      <c r="C189" s="1"/>
      <c r="D189" s="1">
        <f>ROW(A202)</f>
        <v>202</v>
      </c>
      <c r="E189" s="1"/>
      <c r="F189" s="1" t="s">
        <v>13</v>
      </c>
      <c r="G189" s="1" t="s">
        <v>249</v>
      </c>
      <c r="H189" s="1" t="s">
        <v>3</v>
      </c>
      <c r="I189" s="1">
        <v>0</v>
      </c>
      <c r="J189" s="1"/>
      <c r="K189" s="1">
        <v>0</v>
      </c>
      <c r="L189" s="1"/>
      <c r="M189" s="1" t="s">
        <v>3</v>
      </c>
      <c r="N189" s="1"/>
      <c r="O189" s="1"/>
      <c r="P189" s="1"/>
      <c r="Q189" s="1"/>
      <c r="R189" s="1"/>
      <c r="S189" s="1">
        <v>0</v>
      </c>
      <c r="T189" s="1"/>
      <c r="U189" s="1" t="s">
        <v>3</v>
      </c>
      <c r="V189" s="1">
        <v>0</v>
      </c>
      <c r="W189" s="1"/>
      <c r="X189" s="1"/>
      <c r="Y189" s="1"/>
      <c r="Z189" s="1"/>
      <c r="AA189" s="1"/>
      <c r="AB189" s="1" t="s">
        <v>3</v>
      </c>
      <c r="AC189" s="1" t="s">
        <v>3</v>
      </c>
      <c r="AD189" s="1" t="s">
        <v>3</v>
      </c>
      <c r="AE189" s="1" t="s">
        <v>3</v>
      </c>
      <c r="AF189" s="1" t="s">
        <v>3</v>
      </c>
      <c r="AG189" s="1" t="s">
        <v>3</v>
      </c>
      <c r="AH189" s="1"/>
      <c r="AI189" s="1"/>
      <c r="AJ189" s="1"/>
      <c r="AK189" s="1"/>
      <c r="AL189" s="1"/>
      <c r="AM189" s="1"/>
      <c r="AN189" s="1"/>
      <c r="AO189" s="1"/>
      <c r="AP189" s="1" t="s">
        <v>3</v>
      </c>
      <c r="AQ189" s="1" t="s">
        <v>3</v>
      </c>
      <c r="AR189" s="1" t="s">
        <v>3</v>
      </c>
      <c r="AS189" s="1"/>
      <c r="AT189" s="1"/>
      <c r="AU189" s="1"/>
      <c r="AV189" s="1"/>
      <c r="AW189" s="1"/>
      <c r="AX189" s="1"/>
      <c r="AY189" s="1"/>
      <c r="AZ189" s="1" t="s">
        <v>3</v>
      </c>
      <c r="BA189" s="1"/>
      <c r="BB189" s="1" t="s">
        <v>3</v>
      </c>
      <c r="BC189" s="1" t="s">
        <v>3</v>
      </c>
      <c r="BD189" s="1" t="s">
        <v>3</v>
      </c>
      <c r="BE189" s="1" t="s">
        <v>3</v>
      </c>
      <c r="BF189" s="1" t="s">
        <v>3</v>
      </c>
      <c r="BG189" s="1" t="s">
        <v>3</v>
      </c>
      <c r="BH189" s="1" t="s">
        <v>3</v>
      </c>
      <c r="BI189" s="1" t="s">
        <v>3</v>
      </c>
      <c r="BJ189" s="1" t="s">
        <v>3</v>
      </c>
      <c r="BK189" s="1" t="s">
        <v>3</v>
      </c>
      <c r="BL189" s="1" t="s">
        <v>3</v>
      </c>
      <c r="BM189" s="1" t="s">
        <v>3</v>
      </c>
      <c r="BN189" s="1" t="s">
        <v>3</v>
      </c>
      <c r="BO189" s="1" t="s">
        <v>3</v>
      </c>
      <c r="BP189" s="1" t="s">
        <v>3</v>
      </c>
      <c r="BQ189" s="1"/>
      <c r="BR189" s="1"/>
      <c r="BS189" s="1"/>
      <c r="BT189" s="1"/>
      <c r="BU189" s="1"/>
      <c r="BV189" s="1"/>
      <c r="BW189" s="1"/>
      <c r="BX189" s="1">
        <v>0</v>
      </c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>
        <v>0</v>
      </c>
    </row>
    <row r="191" spans="1:206" x14ac:dyDescent="0.2">
      <c r="A191" s="2">
        <v>52</v>
      </c>
      <c r="B191" s="2">
        <f t="shared" ref="B191:G191" si="119">B202</f>
        <v>1</v>
      </c>
      <c r="C191" s="2">
        <f t="shared" si="119"/>
        <v>4</v>
      </c>
      <c r="D191" s="2">
        <f t="shared" si="119"/>
        <v>189</v>
      </c>
      <c r="E191" s="2">
        <f t="shared" si="119"/>
        <v>0</v>
      </c>
      <c r="F191" s="2" t="str">
        <f t="shared" si="119"/>
        <v>Новый раздел</v>
      </c>
      <c r="G191" s="2" t="str">
        <f t="shared" si="119"/>
        <v>Входная группа</v>
      </c>
      <c r="H191" s="2"/>
      <c r="I191" s="2"/>
      <c r="J191" s="2"/>
      <c r="K191" s="2"/>
      <c r="L191" s="2"/>
      <c r="M191" s="2"/>
      <c r="N191" s="2"/>
      <c r="O191" s="2">
        <f t="shared" ref="O191:AT191" si="120">O202</f>
        <v>12079031.1</v>
      </c>
      <c r="P191" s="2">
        <f t="shared" si="120"/>
        <v>12079031.1</v>
      </c>
      <c r="Q191" s="2">
        <f t="shared" si="120"/>
        <v>0</v>
      </c>
      <c r="R191" s="2">
        <f t="shared" si="120"/>
        <v>0</v>
      </c>
      <c r="S191" s="2">
        <f t="shared" si="120"/>
        <v>0</v>
      </c>
      <c r="T191" s="2">
        <f t="shared" si="120"/>
        <v>0</v>
      </c>
      <c r="U191" s="2">
        <f t="shared" si="120"/>
        <v>0</v>
      </c>
      <c r="V191" s="2">
        <f t="shared" si="120"/>
        <v>0</v>
      </c>
      <c r="W191" s="2">
        <f t="shared" si="120"/>
        <v>0</v>
      </c>
      <c r="X191" s="2">
        <f t="shared" si="120"/>
        <v>0</v>
      </c>
      <c r="Y191" s="2">
        <f t="shared" si="120"/>
        <v>0</v>
      </c>
      <c r="Z191" s="2">
        <f t="shared" si="120"/>
        <v>0</v>
      </c>
      <c r="AA191" s="2">
        <f t="shared" si="120"/>
        <v>0</v>
      </c>
      <c r="AB191" s="2">
        <f t="shared" si="120"/>
        <v>12079031.1</v>
      </c>
      <c r="AC191" s="2">
        <f t="shared" si="120"/>
        <v>12079031.1</v>
      </c>
      <c r="AD191" s="2">
        <f t="shared" si="120"/>
        <v>0</v>
      </c>
      <c r="AE191" s="2">
        <f t="shared" si="120"/>
        <v>0</v>
      </c>
      <c r="AF191" s="2">
        <f t="shared" si="120"/>
        <v>0</v>
      </c>
      <c r="AG191" s="2">
        <f t="shared" si="120"/>
        <v>0</v>
      </c>
      <c r="AH191" s="2">
        <f t="shared" si="120"/>
        <v>0</v>
      </c>
      <c r="AI191" s="2">
        <f t="shared" si="120"/>
        <v>0</v>
      </c>
      <c r="AJ191" s="2">
        <f t="shared" si="120"/>
        <v>0</v>
      </c>
      <c r="AK191" s="2">
        <f t="shared" si="120"/>
        <v>0</v>
      </c>
      <c r="AL191" s="2">
        <f t="shared" si="120"/>
        <v>0</v>
      </c>
      <c r="AM191" s="2">
        <f t="shared" si="120"/>
        <v>0</v>
      </c>
      <c r="AN191" s="2">
        <f t="shared" si="120"/>
        <v>0</v>
      </c>
      <c r="AO191" s="2">
        <f t="shared" si="120"/>
        <v>0</v>
      </c>
      <c r="AP191" s="2">
        <f t="shared" si="120"/>
        <v>0</v>
      </c>
      <c r="AQ191" s="2">
        <f t="shared" si="120"/>
        <v>0</v>
      </c>
      <c r="AR191" s="2">
        <f t="shared" si="120"/>
        <v>12079031.1</v>
      </c>
      <c r="AS191" s="2">
        <f t="shared" si="120"/>
        <v>12079031.1</v>
      </c>
      <c r="AT191" s="2">
        <f t="shared" si="120"/>
        <v>0</v>
      </c>
      <c r="AU191" s="2">
        <f t="shared" ref="AU191:BZ191" si="121">AU202</f>
        <v>0</v>
      </c>
      <c r="AV191" s="2">
        <f t="shared" si="121"/>
        <v>12079031.1</v>
      </c>
      <c r="AW191" s="2">
        <f t="shared" si="121"/>
        <v>12079031.1</v>
      </c>
      <c r="AX191" s="2">
        <f t="shared" si="121"/>
        <v>0</v>
      </c>
      <c r="AY191" s="2">
        <f t="shared" si="121"/>
        <v>12079031.1</v>
      </c>
      <c r="AZ191" s="2">
        <f t="shared" si="121"/>
        <v>0</v>
      </c>
      <c r="BA191" s="2">
        <f t="shared" si="121"/>
        <v>0</v>
      </c>
      <c r="BB191" s="2">
        <f t="shared" si="121"/>
        <v>0</v>
      </c>
      <c r="BC191" s="2">
        <f t="shared" si="121"/>
        <v>0</v>
      </c>
      <c r="BD191" s="2">
        <f t="shared" si="121"/>
        <v>0</v>
      </c>
      <c r="BE191" s="2">
        <f t="shared" si="121"/>
        <v>0</v>
      </c>
      <c r="BF191" s="2">
        <f t="shared" si="121"/>
        <v>0</v>
      </c>
      <c r="BG191" s="2">
        <f t="shared" si="121"/>
        <v>0</v>
      </c>
      <c r="BH191" s="2">
        <f t="shared" si="121"/>
        <v>0</v>
      </c>
      <c r="BI191" s="2">
        <f t="shared" si="121"/>
        <v>0</v>
      </c>
      <c r="BJ191" s="2">
        <f t="shared" si="121"/>
        <v>0</v>
      </c>
      <c r="BK191" s="2">
        <f t="shared" si="121"/>
        <v>0</v>
      </c>
      <c r="BL191" s="2">
        <f t="shared" si="121"/>
        <v>0</v>
      </c>
      <c r="BM191" s="2">
        <f t="shared" si="121"/>
        <v>0</v>
      </c>
      <c r="BN191" s="2">
        <f t="shared" si="121"/>
        <v>0</v>
      </c>
      <c r="BO191" s="2">
        <f t="shared" si="121"/>
        <v>0</v>
      </c>
      <c r="BP191" s="2">
        <f t="shared" si="121"/>
        <v>0</v>
      </c>
      <c r="BQ191" s="2">
        <f t="shared" si="121"/>
        <v>0</v>
      </c>
      <c r="BR191" s="2">
        <f t="shared" si="121"/>
        <v>0</v>
      </c>
      <c r="BS191" s="2">
        <f t="shared" si="121"/>
        <v>0</v>
      </c>
      <c r="BT191" s="2">
        <f t="shared" si="121"/>
        <v>0</v>
      </c>
      <c r="BU191" s="2">
        <f t="shared" si="121"/>
        <v>0</v>
      </c>
      <c r="BV191" s="2">
        <f t="shared" si="121"/>
        <v>0</v>
      </c>
      <c r="BW191" s="2">
        <f t="shared" si="121"/>
        <v>0</v>
      </c>
      <c r="BX191" s="2">
        <f t="shared" si="121"/>
        <v>0</v>
      </c>
      <c r="BY191" s="2">
        <f t="shared" si="121"/>
        <v>0</v>
      </c>
      <c r="BZ191" s="2">
        <f t="shared" si="121"/>
        <v>0</v>
      </c>
      <c r="CA191" s="2">
        <f t="shared" ref="CA191:DF191" si="122">CA202</f>
        <v>12079031.1</v>
      </c>
      <c r="CB191" s="2">
        <f t="shared" si="122"/>
        <v>12079031.1</v>
      </c>
      <c r="CC191" s="2">
        <f t="shared" si="122"/>
        <v>0</v>
      </c>
      <c r="CD191" s="2">
        <f t="shared" si="122"/>
        <v>0</v>
      </c>
      <c r="CE191" s="2">
        <f t="shared" si="122"/>
        <v>12079031.1</v>
      </c>
      <c r="CF191" s="2">
        <f t="shared" si="122"/>
        <v>12079031.1</v>
      </c>
      <c r="CG191" s="2">
        <f t="shared" si="122"/>
        <v>0</v>
      </c>
      <c r="CH191" s="2">
        <f t="shared" si="122"/>
        <v>12079031.1</v>
      </c>
      <c r="CI191" s="2">
        <f t="shared" si="122"/>
        <v>0</v>
      </c>
      <c r="CJ191" s="2">
        <f t="shared" si="122"/>
        <v>0</v>
      </c>
      <c r="CK191" s="2">
        <f t="shared" si="122"/>
        <v>0</v>
      </c>
      <c r="CL191" s="2">
        <f t="shared" si="122"/>
        <v>0</v>
      </c>
      <c r="CM191" s="2">
        <f t="shared" si="122"/>
        <v>0</v>
      </c>
      <c r="CN191" s="2">
        <f t="shared" si="122"/>
        <v>0</v>
      </c>
      <c r="CO191" s="2">
        <f t="shared" si="122"/>
        <v>0</v>
      </c>
      <c r="CP191" s="2">
        <f t="shared" si="122"/>
        <v>0</v>
      </c>
      <c r="CQ191" s="2">
        <f t="shared" si="122"/>
        <v>0</v>
      </c>
      <c r="CR191" s="2">
        <f t="shared" si="122"/>
        <v>0</v>
      </c>
      <c r="CS191" s="2">
        <f t="shared" si="122"/>
        <v>0</v>
      </c>
      <c r="CT191" s="2">
        <f t="shared" si="122"/>
        <v>0</v>
      </c>
      <c r="CU191" s="2">
        <f t="shared" si="122"/>
        <v>0</v>
      </c>
      <c r="CV191" s="2">
        <f t="shared" si="122"/>
        <v>0</v>
      </c>
      <c r="CW191" s="2">
        <f t="shared" si="122"/>
        <v>0</v>
      </c>
      <c r="CX191" s="2">
        <f t="shared" si="122"/>
        <v>0</v>
      </c>
      <c r="CY191" s="2">
        <f t="shared" si="122"/>
        <v>0</v>
      </c>
      <c r="CZ191" s="2">
        <f t="shared" si="122"/>
        <v>0</v>
      </c>
      <c r="DA191" s="2">
        <f t="shared" si="122"/>
        <v>0</v>
      </c>
      <c r="DB191" s="2">
        <f t="shared" si="122"/>
        <v>0</v>
      </c>
      <c r="DC191" s="2">
        <f t="shared" si="122"/>
        <v>0</v>
      </c>
      <c r="DD191" s="2">
        <f t="shared" si="122"/>
        <v>0</v>
      </c>
      <c r="DE191" s="2">
        <f t="shared" si="122"/>
        <v>0</v>
      </c>
      <c r="DF191" s="2">
        <f t="shared" si="122"/>
        <v>0</v>
      </c>
      <c r="DG191" s="3">
        <f t="shared" ref="DG191:EL191" si="123">DG202</f>
        <v>0</v>
      </c>
      <c r="DH191" s="3">
        <f t="shared" si="123"/>
        <v>0</v>
      </c>
      <c r="DI191" s="3">
        <f t="shared" si="123"/>
        <v>0</v>
      </c>
      <c r="DJ191" s="3">
        <f t="shared" si="123"/>
        <v>0</v>
      </c>
      <c r="DK191" s="3">
        <f t="shared" si="123"/>
        <v>0</v>
      </c>
      <c r="DL191" s="3">
        <f t="shared" si="123"/>
        <v>0</v>
      </c>
      <c r="DM191" s="3">
        <f t="shared" si="123"/>
        <v>0</v>
      </c>
      <c r="DN191" s="3">
        <f t="shared" si="123"/>
        <v>0</v>
      </c>
      <c r="DO191" s="3">
        <f t="shared" si="123"/>
        <v>0</v>
      </c>
      <c r="DP191" s="3">
        <f t="shared" si="123"/>
        <v>0</v>
      </c>
      <c r="DQ191" s="3">
        <f t="shared" si="123"/>
        <v>0</v>
      </c>
      <c r="DR191" s="3">
        <f t="shared" si="123"/>
        <v>0</v>
      </c>
      <c r="DS191" s="3">
        <f t="shared" si="123"/>
        <v>0</v>
      </c>
      <c r="DT191" s="3">
        <f t="shared" si="123"/>
        <v>0</v>
      </c>
      <c r="DU191" s="3">
        <f t="shared" si="123"/>
        <v>0</v>
      </c>
      <c r="DV191" s="3">
        <f t="shared" si="123"/>
        <v>0</v>
      </c>
      <c r="DW191" s="3">
        <f t="shared" si="123"/>
        <v>0</v>
      </c>
      <c r="DX191" s="3">
        <f t="shared" si="123"/>
        <v>0</v>
      </c>
      <c r="DY191" s="3">
        <f t="shared" si="123"/>
        <v>0</v>
      </c>
      <c r="DZ191" s="3">
        <f t="shared" si="123"/>
        <v>0</v>
      </c>
      <c r="EA191" s="3">
        <f t="shared" si="123"/>
        <v>0</v>
      </c>
      <c r="EB191" s="3">
        <f t="shared" si="123"/>
        <v>0</v>
      </c>
      <c r="EC191" s="3">
        <f t="shared" si="123"/>
        <v>0</v>
      </c>
      <c r="ED191" s="3">
        <f t="shared" si="123"/>
        <v>0</v>
      </c>
      <c r="EE191" s="3">
        <f t="shared" si="123"/>
        <v>0</v>
      </c>
      <c r="EF191" s="3">
        <f t="shared" si="123"/>
        <v>0</v>
      </c>
      <c r="EG191" s="3">
        <f t="shared" si="123"/>
        <v>0</v>
      </c>
      <c r="EH191" s="3">
        <f t="shared" si="123"/>
        <v>0</v>
      </c>
      <c r="EI191" s="3">
        <f t="shared" si="123"/>
        <v>0</v>
      </c>
      <c r="EJ191" s="3">
        <f t="shared" si="123"/>
        <v>0</v>
      </c>
      <c r="EK191" s="3">
        <f t="shared" si="123"/>
        <v>0</v>
      </c>
      <c r="EL191" s="3">
        <f t="shared" si="123"/>
        <v>0</v>
      </c>
      <c r="EM191" s="3">
        <f t="shared" ref="EM191:FR191" si="124">EM202</f>
        <v>0</v>
      </c>
      <c r="EN191" s="3">
        <f t="shared" si="124"/>
        <v>0</v>
      </c>
      <c r="EO191" s="3">
        <f t="shared" si="124"/>
        <v>0</v>
      </c>
      <c r="EP191" s="3">
        <f t="shared" si="124"/>
        <v>0</v>
      </c>
      <c r="EQ191" s="3">
        <f t="shared" si="124"/>
        <v>0</v>
      </c>
      <c r="ER191" s="3">
        <f t="shared" si="124"/>
        <v>0</v>
      </c>
      <c r="ES191" s="3">
        <f t="shared" si="124"/>
        <v>0</v>
      </c>
      <c r="ET191" s="3">
        <f t="shared" si="124"/>
        <v>0</v>
      </c>
      <c r="EU191" s="3">
        <f t="shared" si="124"/>
        <v>0</v>
      </c>
      <c r="EV191" s="3">
        <f t="shared" si="124"/>
        <v>0</v>
      </c>
      <c r="EW191" s="3">
        <f t="shared" si="124"/>
        <v>0</v>
      </c>
      <c r="EX191" s="3">
        <f t="shared" si="124"/>
        <v>0</v>
      </c>
      <c r="EY191" s="3">
        <f t="shared" si="124"/>
        <v>0</v>
      </c>
      <c r="EZ191" s="3">
        <f t="shared" si="124"/>
        <v>0</v>
      </c>
      <c r="FA191" s="3">
        <f t="shared" si="124"/>
        <v>0</v>
      </c>
      <c r="FB191" s="3">
        <f t="shared" si="124"/>
        <v>0</v>
      </c>
      <c r="FC191" s="3">
        <f t="shared" si="124"/>
        <v>0</v>
      </c>
      <c r="FD191" s="3">
        <f t="shared" si="124"/>
        <v>0</v>
      </c>
      <c r="FE191" s="3">
        <f t="shared" si="124"/>
        <v>0</v>
      </c>
      <c r="FF191" s="3">
        <f t="shared" si="124"/>
        <v>0</v>
      </c>
      <c r="FG191" s="3">
        <f t="shared" si="124"/>
        <v>0</v>
      </c>
      <c r="FH191" s="3">
        <f t="shared" si="124"/>
        <v>0</v>
      </c>
      <c r="FI191" s="3">
        <f t="shared" si="124"/>
        <v>0</v>
      </c>
      <c r="FJ191" s="3">
        <f t="shared" si="124"/>
        <v>0</v>
      </c>
      <c r="FK191" s="3">
        <f t="shared" si="124"/>
        <v>0</v>
      </c>
      <c r="FL191" s="3">
        <f t="shared" si="124"/>
        <v>0</v>
      </c>
      <c r="FM191" s="3">
        <f t="shared" si="124"/>
        <v>0</v>
      </c>
      <c r="FN191" s="3">
        <f t="shared" si="124"/>
        <v>0</v>
      </c>
      <c r="FO191" s="3">
        <f t="shared" si="124"/>
        <v>0</v>
      </c>
      <c r="FP191" s="3">
        <f t="shared" si="124"/>
        <v>0</v>
      </c>
      <c r="FQ191" s="3">
        <f t="shared" si="124"/>
        <v>0</v>
      </c>
      <c r="FR191" s="3">
        <f t="shared" si="124"/>
        <v>0</v>
      </c>
      <c r="FS191" s="3">
        <f t="shared" ref="FS191:GX191" si="125">FS202</f>
        <v>0</v>
      </c>
      <c r="FT191" s="3">
        <f t="shared" si="125"/>
        <v>0</v>
      </c>
      <c r="FU191" s="3">
        <f t="shared" si="125"/>
        <v>0</v>
      </c>
      <c r="FV191" s="3">
        <f t="shared" si="125"/>
        <v>0</v>
      </c>
      <c r="FW191" s="3">
        <f t="shared" si="125"/>
        <v>0</v>
      </c>
      <c r="FX191" s="3">
        <f t="shared" si="125"/>
        <v>0</v>
      </c>
      <c r="FY191" s="3">
        <f t="shared" si="125"/>
        <v>0</v>
      </c>
      <c r="FZ191" s="3">
        <f t="shared" si="125"/>
        <v>0</v>
      </c>
      <c r="GA191" s="3">
        <f t="shared" si="125"/>
        <v>0</v>
      </c>
      <c r="GB191" s="3">
        <f t="shared" si="125"/>
        <v>0</v>
      </c>
      <c r="GC191" s="3">
        <f t="shared" si="125"/>
        <v>0</v>
      </c>
      <c r="GD191" s="3">
        <f t="shared" si="125"/>
        <v>0</v>
      </c>
      <c r="GE191" s="3">
        <f t="shared" si="125"/>
        <v>0</v>
      </c>
      <c r="GF191" s="3">
        <f t="shared" si="125"/>
        <v>0</v>
      </c>
      <c r="GG191" s="3">
        <f t="shared" si="125"/>
        <v>0</v>
      </c>
      <c r="GH191" s="3">
        <f t="shared" si="125"/>
        <v>0</v>
      </c>
      <c r="GI191" s="3">
        <f t="shared" si="125"/>
        <v>0</v>
      </c>
      <c r="GJ191" s="3">
        <f t="shared" si="125"/>
        <v>0</v>
      </c>
      <c r="GK191" s="3">
        <f t="shared" si="125"/>
        <v>0</v>
      </c>
      <c r="GL191" s="3">
        <f t="shared" si="125"/>
        <v>0</v>
      </c>
      <c r="GM191" s="3">
        <f t="shared" si="125"/>
        <v>0</v>
      </c>
      <c r="GN191" s="3">
        <f t="shared" si="125"/>
        <v>0</v>
      </c>
      <c r="GO191" s="3">
        <f t="shared" si="125"/>
        <v>0</v>
      </c>
      <c r="GP191" s="3">
        <f t="shared" si="125"/>
        <v>0</v>
      </c>
      <c r="GQ191" s="3">
        <f t="shared" si="125"/>
        <v>0</v>
      </c>
      <c r="GR191" s="3">
        <f t="shared" si="125"/>
        <v>0</v>
      </c>
      <c r="GS191" s="3">
        <f t="shared" si="125"/>
        <v>0</v>
      </c>
      <c r="GT191" s="3">
        <f t="shared" si="125"/>
        <v>0</v>
      </c>
      <c r="GU191" s="3">
        <f t="shared" si="125"/>
        <v>0</v>
      </c>
      <c r="GV191" s="3">
        <f t="shared" si="125"/>
        <v>0</v>
      </c>
      <c r="GW191" s="3">
        <f t="shared" si="125"/>
        <v>0</v>
      </c>
      <c r="GX191" s="3">
        <f t="shared" si="125"/>
        <v>0</v>
      </c>
    </row>
    <row r="193" spans="1:245" x14ac:dyDescent="0.2">
      <c r="A193">
        <v>17</v>
      </c>
      <c r="B193">
        <v>1</v>
      </c>
      <c r="E193" t="s">
        <v>28</v>
      </c>
      <c r="F193" t="s">
        <v>24</v>
      </c>
      <c r="G193" t="s">
        <v>320</v>
      </c>
      <c r="H193" t="s">
        <v>154</v>
      </c>
      <c r="I193">
        <v>1</v>
      </c>
      <c r="J193">
        <v>0</v>
      </c>
      <c r="K193">
        <v>1</v>
      </c>
      <c r="O193">
        <f t="shared" ref="O193:O200" si="126">ROUND(CP193,2)</f>
        <v>3573800.02</v>
      </c>
      <c r="P193">
        <f t="shared" ref="P193:P200" si="127">ROUND(CQ193*I193,2)</f>
        <v>3573800.02</v>
      </c>
      <c r="Q193">
        <f t="shared" ref="Q193:Q200" si="128">ROUND(CR193*I193,2)</f>
        <v>0</v>
      </c>
      <c r="R193">
        <f t="shared" ref="R193:R200" si="129">ROUND(CS193*I193,2)</f>
        <v>0</v>
      </c>
      <c r="S193">
        <f t="shared" ref="S193:S200" si="130">ROUND(CT193*I193,2)</f>
        <v>0</v>
      </c>
      <c r="T193">
        <f t="shared" ref="T193:T200" si="131">ROUND(CU193*I193,2)</f>
        <v>0</v>
      </c>
      <c r="U193">
        <f t="shared" ref="U193:U200" si="132">CV193*I193</f>
        <v>0</v>
      </c>
      <c r="V193">
        <f t="shared" ref="V193:V200" si="133">CW193*I193</f>
        <v>0</v>
      </c>
      <c r="W193">
        <f t="shared" ref="W193:W200" si="134">ROUND(CX193*I193,2)</f>
        <v>0</v>
      </c>
      <c r="X193">
        <f t="shared" ref="X193:Y200" si="135">ROUND(CY193,2)</f>
        <v>0</v>
      </c>
      <c r="Y193">
        <f t="shared" si="135"/>
        <v>0</v>
      </c>
      <c r="AA193">
        <v>81141517</v>
      </c>
      <c r="AB193">
        <f t="shared" ref="AB193:AB200" si="136">ROUND((AC193+AD193+AF193),6)</f>
        <v>3573800.02</v>
      </c>
      <c r="AC193">
        <f t="shared" ref="AC193:AC200" si="137">ROUND((ES193),6)</f>
        <v>3573800.02</v>
      </c>
      <c r="AD193">
        <f t="shared" ref="AD193:AD200" si="138">ROUND((((ET193)-(EU193))+AE193),6)</f>
        <v>0</v>
      </c>
      <c r="AE193">
        <f t="shared" ref="AE193:AF200" si="139">ROUND((EU193),6)</f>
        <v>0</v>
      </c>
      <c r="AF193">
        <f t="shared" si="139"/>
        <v>0</v>
      </c>
      <c r="AG193">
        <f t="shared" ref="AG193:AG200" si="140">ROUND((AP193),6)</f>
        <v>0</v>
      </c>
      <c r="AH193">
        <f t="shared" ref="AH193:AI200" si="141">(EW193)</f>
        <v>0</v>
      </c>
      <c r="AI193">
        <f t="shared" si="141"/>
        <v>0</v>
      </c>
      <c r="AJ193">
        <f t="shared" ref="AJ193:AJ200" si="142">(AS193)</f>
        <v>0</v>
      </c>
      <c r="AK193">
        <v>3573800.02</v>
      </c>
      <c r="AL193">
        <v>3573800.02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1</v>
      </c>
      <c r="AW193">
        <v>1</v>
      </c>
      <c r="AZ193">
        <v>1</v>
      </c>
      <c r="BA193">
        <v>1</v>
      </c>
      <c r="BB193">
        <v>1</v>
      </c>
      <c r="BC193">
        <v>1</v>
      </c>
      <c r="BD193" t="s">
        <v>3</v>
      </c>
      <c r="BE193" t="s">
        <v>3</v>
      </c>
      <c r="BF193" t="s">
        <v>3</v>
      </c>
      <c r="BG193" t="s">
        <v>3</v>
      </c>
      <c r="BH193">
        <v>3</v>
      </c>
      <c r="BI193">
        <v>1</v>
      </c>
      <c r="BJ193" t="s">
        <v>3</v>
      </c>
      <c r="BM193">
        <v>6001</v>
      </c>
      <c r="BN193">
        <v>0</v>
      </c>
      <c r="BO193" t="s">
        <v>3</v>
      </c>
      <c r="BP193">
        <v>0</v>
      </c>
      <c r="BQ193">
        <v>0</v>
      </c>
      <c r="BR193">
        <v>0</v>
      </c>
      <c r="BS193">
        <v>1</v>
      </c>
      <c r="BT193">
        <v>1</v>
      </c>
      <c r="BU193">
        <v>1</v>
      </c>
      <c r="BV193">
        <v>1</v>
      </c>
      <c r="BW193">
        <v>1</v>
      </c>
      <c r="BX193">
        <v>1</v>
      </c>
      <c r="BY193" t="s">
        <v>3</v>
      </c>
      <c r="BZ193">
        <v>0</v>
      </c>
      <c r="CA193">
        <v>0</v>
      </c>
      <c r="CB193" t="s">
        <v>3</v>
      </c>
      <c r="CE193">
        <v>0</v>
      </c>
      <c r="CF193">
        <v>0</v>
      </c>
      <c r="CG193">
        <v>0</v>
      </c>
      <c r="CM193">
        <v>0</v>
      </c>
      <c r="CN193" t="s">
        <v>3</v>
      </c>
      <c r="CO193">
        <v>0</v>
      </c>
      <c r="CP193">
        <f t="shared" ref="CP193:CP200" si="143">(P193+Q193+S193)</f>
        <v>3573800.02</v>
      </c>
      <c r="CQ193">
        <f t="shared" ref="CQ193:CQ200" si="144">(AC193*BC193*AW193)</f>
        <v>3573800.02</v>
      </c>
      <c r="CR193">
        <f t="shared" ref="CR193:CR200" si="145">((((ET193)*BB193-(EU193)*BS193)+AE193*BS193)*AV193)</f>
        <v>0</v>
      </c>
      <c r="CS193">
        <f t="shared" ref="CS193:CS200" si="146">(AE193*BS193*AV193)</f>
        <v>0</v>
      </c>
      <c r="CT193">
        <f t="shared" ref="CT193:CT200" si="147">(AF193*BA193*AV193)</f>
        <v>0</v>
      </c>
      <c r="CU193">
        <f t="shared" ref="CU193:CU200" si="148">AG193</f>
        <v>0</v>
      </c>
      <c r="CV193">
        <f t="shared" ref="CV193:CV200" si="149">(AH193*AV193)</f>
        <v>0</v>
      </c>
      <c r="CW193">
        <f t="shared" ref="CW193:CX200" si="150">AI193</f>
        <v>0</v>
      </c>
      <c r="CX193">
        <f t="shared" si="150"/>
        <v>0</v>
      </c>
      <c r="CY193">
        <f t="shared" ref="CY193:CY200" si="151">((S193*BZ193)/100)</f>
        <v>0</v>
      </c>
      <c r="CZ193">
        <f t="shared" ref="CZ193:CZ200" si="152">((S193*CA193)/100)</f>
        <v>0</v>
      </c>
      <c r="DC193" t="s">
        <v>3</v>
      </c>
      <c r="DD193" t="s">
        <v>3</v>
      </c>
      <c r="DE193" t="s">
        <v>3</v>
      </c>
      <c r="DF193" t="s">
        <v>3</v>
      </c>
      <c r="DG193" t="s">
        <v>3</v>
      </c>
      <c r="DH193" t="s">
        <v>3</v>
      </c>
      <c r="DI193" t="s">
        <v>3</v>
      </c>
      <c r="DJ193" t="s">
        <v>3</v>
      </c>
      <c r="DK193" t="s">
        <v>3</v>
      </c>
      <c r="DL193" t="s">
        <v>3</v>
      </c>
      <c r="DM193" t="s">
        <v>3</v>
      </c>
      <c r="DN193">
        <v>0</v>
      </c>
      <c r="DO193">
        <v>0</v>
      </c>
      <c r="DP193">
        <v>1</v>
      </c>
      <c r="DQ193">
        <v>1</v>
      </c>
      <c r="DU193">
        <v>1013</v>
      </c>
      <c r="DV193" t="s">
        <v>154</v>
      </c>
      <c r="DW193" t="s">
        <v>154</v>
      </c>
      <c r="DX193">
        <v>1</v>
      </c>
      <c r="DZ193" t="s">
        <v>3</v>
      </c>
      <c r="EA193" t="s">
        <v>3</v>
      </c>
      <c r="EB193" t="s">
        <v>3</v>
      </c>
      <c r="EC193" t="s">
        <v>3</v>
      </c>
      <c r="EE193">
        <v>80847375</v>
      </c>
      <c r="EF193">
        <v>0</v>
      </c>
      <c r="EG193" t="s">
        <v>246</v>
      </c>
      <c r="EH193">
        <v>0</v>
      </c>
      <c r="EI193" t="s">
        <v>3</v>
      </c>
      <c r="EJ193">
        <v>1</v>
      </c>
      <c r="EK193">
        <v>6001</v>
      </c>
      <c r="EL193" t="s">
        <v>247</v>
      </c>
      <c r="EM193" t="s">
        <v>246</v>
      </c>
      <c r="EO193" t="s">
        <v>3</v>
      </c>
      <c r="EQ193">
        <v>0</v>
      </c>
      <c r="ER193">
        <v>3573800.02</v>
      </c>
      <c r="ES193">
        <v>3573800.02</v>
      </c>
      <c r="ET193">
        <v>0</v>
      </c>
      <c r="EU193">
        <v>0</v>
      </c>
      <c r="EV193">
        <v>0</v>
      </c>
      <c r="EW193">
        <v>0</v>
      </c>
      <c r="EX193">
        <v>0</v>
      </c>
      <c r="EY193">
        <v>0</v>
      </c>
      <c r="EZ193">
        <v>5</v>
      </c>
      <c r="FC193">
        <v>1</v>
      </c>
      <c r="FD193">
        <v>18</v>
      </c>
      <c r="FF193">
        <v>4288560.0199999996</v>
      </c>
      <c r="FQ193">
        <v>0</v>
      </c>
      <c r="FR193">
        <v>0</v>
      </c>
      <c r="FS193">
        <v>0</v>
      </c>
      <c r="FX193">
        <v>0</v>
      </c>
      <c r="FY193">
        <v>0</v>
      </c>
      <c r="GA193" t="s">
        <v>250</v>
      </c>
      <c r="GD193">
        <v>0</v>
      </c>
      <c r="GF193">
        <v>801724823</v>
      </c>
      <c r="GG193">
        <v>2</v>
      </c>
      <c r="GH193">
        <v>3</v>
      </c>
      <c r="GI193">
        <v>-2</v>
      </c>
      <c r="GJ193">
        <v>0</v>
      </c>
      <c r="GK193">
        <f>ROUND(R193*(R12)/100,2)</f>
        <v>0</v>
      </c>
      <c r="GL193">
        <f t="shared" ref="GL193:GL200" si="153">ROUND(IF(AND(BH193=3,BI193=3,FS193&lt;&gt;0),P193,0),2)</f>
        <v>0</v>
      </c>
      <c r="GM193">
        <f t="shared" ref="GM193:GM200" si="154">ROUND(O193+X193+Y193+GK193,2)+GX193</f>
        <v>3573800.02</v>
      </c>
      <c r="GN193">
        <f t="shared" ref="GN193:GN200" si="155">IF(OR(BI193=0,BI193=1),GM193-GX193,0)</f>
        <v>3573800.02</v>
      </c>
      <c r="GO193">
        <f t="shared" ref="GO193:GO200" si="156">IF(BI193=2,GM193-GX193,0)</f>
        <v>0</v>
      </c>
      <c r="GP193">
        <f t="shared" ref="GP193:GP200" si="157">IF(BI193=4,GM193-GX193,0)</f>
        <v>0</v>
      </c>
      <c r="GR193">
        <v>1</v>
      </c>
      <c r="GS193">
        <v>1</v>
      </c>
      <c r="GT193">
        <v>0</v>
      </c>
      <c r="GU193" t="s">
        <v>3</v>
      </c>
      <c r="GV193">
        <f t="shared" ref="GV193:GV200" si="158">ROUND((GT193),6)</f>
        <v>0</v>
      </c>
      <c r="GW193">
        <v>1</v>
      </c>
      <c r="GX193">
        <f t="shared" ref="GX193:GX200" si="159">ROUND(HC193*I193,2)</f>
        <v>0</v>
      </c>
      <c r="HA193">
        <v>0</v>
      </c>
      <c r="HB193">
        <v>0</v>
      </c>
      <c r="HC193">
        <f t="shared" ref="HC193:HC200" si="160">GV193*GW193</f>
        <v>0</v>
      </c>
      <c r="HE193" t="s">
        <v>27</v>
      </c>
      <c r="HF193" t="s">
        <v>27</v>
      </c>
      <c r="HM193" t="s">
        <v>3</v>
      </c>
      <c r="HN193" t="s">
        <v>3</v>
      </c>
      <c r="HO193" t="s">
        <v>3</v>
      </c>
      <c r="HP193" t="s">
        <v>3</v>
      </c>
      <c r="HQ193" t="s">
        <v>3</v>
      </c>
      <c r="HS193">
        <v>0</v>
      </c>
      <c r="IK193">
        <v>0</v>
      </c>
    </row>
    <row r="194" spans="1:245" x14ac:dyDescent="0.2">
      <c r="A194">
        <v>17</v>
      </c>
      <c r="B194">
        <v>1</v>
      </c>
      <c r="E194" t="s">
        <v>47</v>
      </c>
      <c r="F194" t="s">
        <v>24</v>
      </c>
      <c r="G194" t="s">
        <v>321</v>
      </c>
      <c r="H194" t="s">
        <v>154</v>
      </c>
      <c r="I194">
        <v>1</v>
      </c>
      <c r="J194">
        <v>0</v>
      </c>
      <c r="K194">
        <v>1</v>
      </c>
      <c r="O194">
        <f t="shared" si="126"/>
        <v>1340299.95</v>
      </c>
      <c r="P194">
        <f t="shared" si="127"/>
        <v>1340299.95</v>
      </c>
      <c r="Q194">
        <f t="shared" si="128"/>
        <v>0</v>
      </c>
      <c r="R194">
        <f t="shared" si="129"/>
        <v>0</v>
      </c>
      <c r="S194">
        <f t="shared" si="130"/>
        <v>0</v>
      </c>
      <c r="T194">
        <f t="shared" si="131"/>
        <v>0</v>
      </c>
      <c r="U194">
        <f t="shared" si="132"/>
        <v>0</v>
      </c>
      <c r="V194">
        <f t="shared" si="133"/>
        <v>0</v>
      </c>
      <c r="W194">
        <f t="shared" si="134"/>
        <v>0</v>
      </c>
      <c r="X194">
        <f t="shared" si="135"/>
        <v>0</v>
      </c>
      <c r="Y194">
        <f t="shared" si="135"/>
        <v>0</v>
      </c>
      <c r="AA194">
        <v>81141517</v>
      </c>
      <c r="AB194">
        <f t="shared" si="136"/>
        <v>1340299.95</v>
      </c>
      <c r="AC194">
        <f t="shared" si="137"/>
        <v>1340299.95</v>
      </c>
      <c r="AD194">
        <f t="shared" si="138"/>
        <v>0</v>
      </c>
      <c r="AE194">
        <f t="shared" si="139"/>
        <v>0</v>
      </c>
      <c r="AF194">
        <f t="shared" si="139"/>
        <v>0</v>
      </c>
      <c r="AG194">
        <f t="shared" si="140"/>
        <v>0</v>
      </c>
      <c r="AH194">
        <f t="shared" si="141"/>
        <v>0</v>
      </c>
      <c r="AI194">
        <f t="shared" si="141"/>
        <v>0</v>
      </c>
      <c r="AJ194">
        <f t="shared" si="142"/>
        <v>0</v>
      </c>
      <c r="AK194">
        <v>1340299.95</v>
      </c>
      <c r="AL194">
        <v>1340299.95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1</v>
      </c>
      <c r="AW194">
        <v>1</v>
      </c>
      <c r="AZ194">
        <v>1</v>
      </c>
      <c r="BA194">
        <v>1</v>
      </c>
      <c r="BB194">
        <v>1</v>
      </c>
      <c r="BC194">
        <v>1</v>
      </c>
      <c r="BD194" t="s">
        <v>3</v>
      </c>
      <c r="BE194" t="s">
        <v>3</v>
      </c>
      <c r="BF194" t="s">
        <v>3</v>
      </c>
      <c r="BG194" t="s">
        <v>3</v>
      </c>
      <c r="BH194">
        <v>3</v>
      </c>
      <c r="BI194">
        <v>1</v>
      </c>
      <c r="BJ194" t="s">
        <v>3</v>
      </c>
      <c r="BM194">
        <v>6001</v>
      </c>
      <c r="BN194">
        <v>0</v>
      </c>
      <c r="BO194" t="s">
        <v>3</v>
      </c>
      <c r="BP194">
        <v>0</v>
      </c>
      <c r="BQ194">
        <v>0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3</v>
      </c>
      <c r="BZ194">
        <v>0</v>
      </c>
      <c r="CA194">
        <v>0</v>
      </c>
      <c r="CB194" t="s">
        <v>3</v>
      </c>
      <c r="CE194">
        <v>0</v>
      </c>
      <c r="CF194">
        <v>0</v>
      </c>
      <c r="CG194">
        <v>0</v>
      </c>
      <c r="CM194">
        <v>0</v>
      </c>
      <c r="CN194" t="s">
        <v>3</v>
      </c>
      <c r="CO194">
        <v>0</v>
      </c>
      <c r="CP194">
        <f t="shared" si="143"/>
        <v>1340299.95</v>
      </c>
      <c r="CQ194">
        <f t="shared" si="144"/>
        <v>1340299.95</v>
      </c>
      <c r="CR194">
        <f t="shared" si="145"/>
        <v>0</v>
      </c>
      <c r="CS194">
        <f t="shared" si="146"/>
        <v>0</v>
      </c>
      <c r="CT194">
        <f t="shared" si="147"/>
        <v>0</v>
      </c>
      <c r="CU194">
        <f t="shared" si="148"/>
        <v>0</v>
      </c>
      <c r="CV194">
        <f t="shared" si="149"/>
        <v>0</v>
      </c>
      <c r="CW194">
        <f t="shared" si="150"/>
        <v>0</v>
      </c>
      <c r="CX194">
        <f t="shared" si="150"/>
        <v>0</v>
      </c>
      <c r="CY194">
        <f t="shared" si="151"/>
        <v>0</v>
      </c>
      <c r="CZ194">
        <f t="shared" si="152"/>
        <v>0</v>
      </c>
      <c r="DC194" t="s">
        <v>3</v>
      </c>
      <c r="DD194" t="s">
        <v>3</v>
      </c>
      <c r="DE194" t="s">
        <v>3</v>
      </c>
      <c r="DF194" t="s">
        <v>3</v>
      </c>
      <c r="DG194" t="s">
        <v>3</v>
      </c>
      <c r="DH194" t="s">
        <v>3</v>
      </c>
      <c r="DI194" t="s">
        <v>3</v>
      </c>
      <c r="DJ194" t="s">
        <v>3</v>
      </c>
      <c r="DK194" t="s">
        <v>3</v>
      </c>
      <c r="DL194" t="s">
        <v>3</v>
      </c>
      <c r="DM194" t="s">
        <v>3</v>
      </c>
      <c r="DN194">
        <v>0</v>
      </c>
      <c r="DO194">
        <v>0</v>
      </c>
      <c r="DP194">
        <v>1</v>
      </c>
      <c r="DQ194">
        <v>1</v>
      </c>
      <c r="DU194">
        <v>1013</v>
      </c>
      <c r="DV194" t="s">
        <v>154</v>
      </c>
      <c r="DW194" t="s">
        <v>154</v>
      </c>
      <c r="DX194">
        <v>1</v>
      </c>
      <c r="DZ194" t="s">
        <v>3</v>
      </c>
      <c r="EA194" t="s">
        <v>3</v>
      </c>
      <c r="EB194" t="s">
        <v>3</v>
      </c>
      <c r="EC194" t="s">
        <v>3</v>
      </c>
      <c r="EE194">
        <v>80847375</v>
      </c>
      <c r="EF194">
        <v>0</v>
      </c>
      <c r="EG194" t="s">
        <v>246</v>
      </c>
      <c r="EH194">
        <v>0</v>
      </c>
      <c r="EI194" t="s">
        <v>3</v>
      </c>
      <c r="EJ194">
        <v>1</v>
      </c>
      <c r="EK194">
        <v>6001</v>
      </c>
      <c r="EL194" t="s">
        <v>247</v>
      </c>
      <c r="EM194" t="s">
        <v>246</v>
      </c>
      <c r="EO194" t="s">
        <v>3</v>
      </c>
      <c r="EQ194">
        <v>0</v>
      </c>
      <c r="ER194">
        <v>1340299.95</v>
      </c>
      <c r="ES194">
        <v>1340299.95</v>
      </c>
      <c r="ET194">
        <v>0</v>
      </c>
      <c r="EU194">
        <v>0</v>
      </c>
      <c r="EV194">
        <v>0</v>
      </c>
      <c r="EW194">
        <v>0</v>
      </c>
      <c r="EX194">
        <v>0</v>
      </c>
      <c r="EY194">
        <v>0</v>
      </c>
      <c r="EZ194">
        <v>5</v>
      </c>
      <c r="FC194">
        <v>1</v>
      </c>
      <c r="FD194">
        <v>18</v>
      </c>
      <c r="FF194">
        <v>1608359.94</v>
      </c>
      <c r="FQ194">
        <v>0</v>
      </c>
      <c r="FR194">
        <v>0</v>
      </c>
      <c r="FS194">
        <v>0</v>
      </c>
      <c r="FX194">
        <v>0</v>
      </c>
      <c r="FY194">
        <v>0</v>
      </c>
      <c r="GA194" t="s">
        <v>251</v>
      </c>
      <c r="GD194">
        <v>0</v>
      </c>
      <c r="GF194">
        <v>-1625132343</v>
      </c>
      <c r="GG194">
        <v>2</v>
      </c>
      <c r="GH194">
        <v>3</v>
      </c>
      <c r="GI194">
        <v>-2</v>
      </c>
      <c r="GJ194">
        <v>0</v>
      </c>
      <c r="GK194">
        <f>ROUND(R194*(R12)/100,2)</f>
        <v>0</v>
      </c>
      <c r="GL194">
        <f t="shared" si="153"/>
        <v>0</v>
      </c>
      <c r="GM194">
        <f t="shared" si="154"/>
        <v>1340299.95</v>
      </c>
      <c r="GN194">
        <f t="shared" si="155"/>
        <v>1340299.95</v>
      </c>
      <c r="GO194">
        <f t="shared" si="156"/>
        <v>0</v>
      </c>
      <c r="GP194">
        <f t="shared" si="157"/>
        <v>0</v>
      </c>
      <c r="GR194">
        <v>1</v>
      </c>
      <c r="GS194">
        <v>1</v>
      </c>
      <c r="GT194">
        <v>0</v>
      </c>
      <c r="GU194" t="s">
        <v>3</v>
      </c>
      <c r="GV194">
        <f t="shared" si="158"/>
        <v>0</v>
      </c>
      <c r="GW194">
        <v>1</v>
      </c>
      <c r="GX194">
        <f t="shared" si="159"/>
        <v>0</v>
      </c>
      <c r="HA194">
        <v>0</v>
      </c>
      <c r="HB194">
        <v>0</v>
      </c>
      <c r="HC194">
        <f t="shared" si="160"/>
        <v>0</v>
      </c>
      <c r="HE194" t="s">
        <v>27</v>
      </c>
      <c r="HF194" t="s">
        <v>27</v>
      </c>
      <c r="HM194" t="s">
        <v>3</v>
      </c>
      <c r="HN194" t="s">
        <v>3</v>
      </c>
      <c r="HO194" t="s">
        <v>3</v>
      </c>
      <c r="HP194" t="s">
        <v>3</v>
      </c>
      <c r="HQ194" t="s">
        <v>3</v>
      </c>
      <c r="HS194">
        <v>0</v>
      </c>
      <c r="IK194">
        <v>0</v>
      </c>
    </row>
    <row r="195" spans="1:245" x14ac:dyDescent="0.2">
      <c r="A195">
        <v>17</v>
      </c>
      <c r="B195">
        <v>1</v>
      </c>
      <c r="E195" t="s">
        <v>61</v>
      </c>
      <c r="F195" t="s">
        <v>24</v>
      </c>
      <c r="G195" t="s">
        <v>252</v>
      </c>
      <c r="H195" t="s">
        <v>154</v>
      </c>
      <c r="I195">
        <v>1</v>
      </c>
      <c r="J195">
        <v>0</v>
      </c>
      <c r="K195">
        <v>1</v>
      </c>
      <c r="O195">
        <f t="shared" si="126"/>
        <v>1407616.15</v>
      </c>
      <c r="P195">
        <f t="shared" si="127"/>
        <v>1407616.15</v>
      </c>
      <c r="Q195">
        <f t="shared" si="128"/>
        <v>0</v>
      </c>
      <c r="R195">
        <f t="shared" si="129"/>
        <v>0</v>
      </c>
      <c r="S195">
        <f t="shared" si="130"/>
        <v>0</v>
      </c>
      <c r="T195">
        <f t="shared" si="131"/>
        <v>0</v>
      </c>
      <c r="U195">
        <f t="shared" si="132"/>
        <v>0</v>
      </c>
      <c r="V195">
        <f t="shared" si="133"/>
        <v>0</v>
      </c>
      <c r="W195">
        <f t="shared" si="134"/>
        <v>0</v>
      </c>
      <c r="X195">
        <f t="shared" si="135"/>
        <v>0</v>
      </c>
      <c r="Y195">
        <f t="shared" si="135"/>
        <v>0</v>
      </c>
      <c r="AA195">
        <v>81141517</v>
      </c>
      <c r="AB195">
        <f t="shared" si="136"/>
        <v>1407616.15</v>
      </c>
      <c r="AC195">
        <f t="shared" si="137"/>
        <v>1407616.15</v>
      </c>
      <c r="AD195">
        <f t="shared" si="138"/>
        <v>0</v>
      </c>
      <c r="AE195">
        <f t="shared" si="139"/>
        <v>0</v>
      </c>
      <c r="AF195">
        <f t="shared" si="139"/>
        <v>0</v>
      </c>
      <c r="AG195">
        <f t="shared" si="140"/>
        <v>0</v>
      </c>
      <c r="AH195">
        <f t="shared" si="141"/>
        <v>0</v>
      </c>
      <c r="AI195">
        <f t="shared" si="141"/>
        <v>0</v>
      </c>
      <c r="AJ195">
        <f t="shared" si="142"/>
        <v>0</v>
      </c>
      <c r="AK195">
        <v>1407616.15</v>
      </c>
      <c r="AL195">
        <v>1407616.15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1</v>
      </c>
      <c r="AW195">
        <v>1</v>
      </c>
      <c r="AZ195">
        <v>1</v>
      </c>
      <c r="BA195">
        <v>1</v>
      </c>
      <c r="BB195">
        <v>1</v>
      </c>
      <c r="BC195">
        <v>1</v>
      </c>
      <c r="BD195" t="s">
        <v>3</v>
      </c>
      <c r="BE195" t="s">
        <v>3</v>
      </c>
      <c r="BF195" t="s">
        <v>3</v>
      </c>
      <c r="BG195" t="s">
        <v>3</v>
      </c>
      <c r="BH195">
        <v>3</v>
      </c>
      <c r="BI195">
        <v>1</v>
      </c>
      <c r="BJ195" t="s">
        <v>3</v>
      </c>
      <c r="BM195">
        <v>6001</v>
      </c>
      <c r="BN195">
        <v>0</v>
      </c>
      <c r="BO195" t="s">
        <v>3</v>
      </c>
      <c r="BP195">
        <v>0</v>
      </c>
      <c r="BQ195">
        <v>0</v>
      </c>
      <c r="BR195">
        <v>0</v>
      </c>
      <c r="BS195">
        <v>1</v>
      </c>
      <c r="BT195">
        <v>1</v>
      </c>
      <c r="BU195">
        <v>1</v>
      </c>
      <c r="BV195">
        <v>1</v>
      </c>
      <c r="BW195">
        <v>1</v>
      </c>
      <c r="BX195">
        <v>1</v>
      </c>
      <c r="BY195" t="s">
        <v>3</v>
      </c>
      <c r="BZ195">
        <v>0</v>
      </c>
      <c r="CA195">
        <v>0</v>
      </c>
      <c r="CB195" t="s">
        <v>3</v>
      </c>
      <c r="CE195">
        <v>0</v>
      </c>
      <c r="CF195">
        <v>0</v>
      </c>
      <c r="CG195">
        <v>0</v>
      </c>
      <c r="CM195">
        <v>0</v>
      </c>
      <c r="CN195" t="s">
        <v>3</v>
      </c>
      <c r="CO195">
        <v>0</v>
      </c>
      <c r="CP195">
        <f t="shared" si="143"/>
        <v>1407616.15</v>
      </c>
      <c r="CQ195">
        <f t="shared" si="144"/>
        <v>1407616.15</v>
      </c>
      <c r="CR195">
        <f t="shared" si="145"/>
        <v>0</v>
      </c>
      <c r="CS195">
        <f t="shared" si="146"/>
        <v>0</v>
      </c>
      <c r="CT195">
        <f t="shared" si="147"/>
        <v>0</v>
      </c>
      <c r="CU195">
        <f t="shared" si="148"/>
        <v>0</v>
      </c>
      <c r="CV195">
        <f t="shared" si="149"/>
        <v>0</v>
      </c>
      <c r="CW195">
        <f t="shared" si="150"/>
        <v>0</v>
      </c>
      <c r="CX195">
        <f t="shared" si="150"/>
        <v>0</v>
      </c>
      <c r="CY195">
        <f t="shared" si="151"/>
        <v>0</v>
      </c>
      <c r="CZ195">
        <f t="shared" si="152"/>
        <v>0</v>
      </c>
      <c r="DC195" t="s">
        <v>3</v>
      </c>
      <c r="DD195" t="s">
        <v>3</v>
      </c>
      <c r="DE195" t="s">
        <v>3</v>
      </c>
      <c r="DF195" t="s">
        <v>3</v>
      </c>
      <c r="DG195" t="s">
        <v>3</v>
      </c>
      <c r="DH195" t="s">
        <v>3</v>
      </c>
      <c r="DI195" t="s">
        <v>3</v>
      </c>
      <c r="DJ195" t="s">
        <v>3</v>
      </c>
      <c r="DK195" t="s">
        <v>3</v>
      </c>
      <c r="DL195" t="s">
        <v>3</v>
      </c>
      <c r="DM195" t="s">
        <v>3</v>
      </c>
      <c r="DN195">
        <v>0</v>
      </c>
      <c r="DO195">
        <v>0</v>
      </c>
      <c r="DP195">
        <v>1</v>
      </c>
      <c r="DQ195">
        <v>1</v>
      </c>
      <c r="DU195">
        <v>1013</v>
      </c>
      <c r="DV195" t="s">
        <v>154</v>
      </c>
      <c r="DW195" t="s">
        <v>154</v>
      </c>
      <c r="DX195">
        <v>1</v>
      </c>
      <c r="DZ195" t="s">
        <v>3</v>
      </c>
      <c r="EA195" t="s">
        <v>3</v>
      </c>
      <c r="EB195" t="s">
        <v>3</v>
      </c>
      <c r="EC195" t="s">
        <v>3</v>
      </c>
      <c r="EE195">
        <v>80847375</v>
      </c>
      <c r="EF195">
        <v>0</v>
      </c>
      <c r="EG195" t="s">
        <v>246</v>
      </c>
      <c r="EH195">
        <v>0</v>
      </c>
      <c r="EI195" t="s">
        <v>3</v>
      </c>
      <c r="EJ195">
        <v>1</v>
      </c>
      <c r="EK195">
        <v>6001</v>
      </c>
      <c r="EL195" t="s">
        <v>247</v>
      </c>
      <c r="EM195" t="s">
        <v>246</v>
      </c>
      <c r="EO195" t="s">
        <v>3</v>
      </c>
      <c r="EQ195">
        <v>0</v>
      </c>
      <c r="ER195">
        <v>1407616.15</v>
      </c>
      <c r="ES195">
        <v>1407616.15</v>
      </c>
      <c r="ET195">
        <v>0</v>
      </c>
      <c r="EU195">
        <v>0</v>
      </c>
      <c r="EV195">
        <v>0</v>
      </c>
      <c r="EW195">
        <v>0</v>
      </c>
      <c r="EX195">
        <v>0</v>
      </c>
      <c r="EY195">
        <v>0</v>
      </c>
      <c r="EZ195">
        <v>5</v>
      </c>
      <c r="FC195">
        <v>1</v>
      </c>
      <c r="FD195">
        <v>18</v>
      </c>
      <c r="FF195">
        <v>1689139.38</v>
      </c>
      <c r="FQ195">
        <v>0</v>
      </c>
      <c r="FR195">
        <v>0</v>
      </c>
      <c r="FS195">
        <v>0</v>
      </c>
      <c r="FX195">
        <v>0</v>
      </c>
      <c r="FY195">
        <v>0</v>
      </c>
      <c r="GA195" t="s">
        <v>253</v>
      </c>
      <c r="GD195">
        <v>0</v>
      </c>
      <c r="GF195">
        <v>-2042942662</v>
      </c>
      <c r="GG195">
        <v>2</v>
      </c>
      <c r="GH195">
        <v>3</v>
      </c>
      <c r="GI195">
        <v>-2</v>
      </c>
      <c r="GJ195">
        <v>0</v>
      </c>
      <c r="GK195">
        <f>ROUND(R195*(R12)/100,2)</f>
        <v>0</v>
      </c>
      <c r="GL195">
        <f t="shared" si="153"/>
        <v>0</v>
      </c>
      <c r="GM195">
        <f t="shared" si="154"/>
        <v>1407616.15</v>
      </c>
      <c r="GN195">
        <f t="shared" si="155"/>
        <v>1407616.15</v>
      </c>
      <c r="GO195">
        <f t="shared" si="156"/>
        <v>0</v>
      </c>
      <c r="GP195">
        <f t="shared" si="157"/>
        <v>0</v>
      </c>
      <c r="GR195">
        <v>1</v>
      </c>
      <c r="GS195">
        <v>1</v>
      </c>
      <c r="GT195">
        <v>0</v>
      </c>
      <c r="GU195" t="s">
        <v>3</v>
      </c>
      <c r="GV195">
        <f t="shared" si="158"/>
        <v>0</v>
      </c>
      <c r="GW195">
        <v>1</v>
      </c>
      <c r="GX195">
        <f t="shared" si="159"/>
        <v>0</v>
      </c>
      <c r="HA195">
        <v>0</v>
      </c>
      <c r="HB195">
        <v>0</v>
      </c>
      <c r="HC195">
        <f t="shared" si="160"/>
        <v>0</v>
      </c>
      <c r="HE195" t="s">
        <v>27</v>
      </c>
      <c r="HF195" t="s">
        <v>27</v>
      </c>
      <c r="HM195" t="s">
        <v>3</v>
      </c>
      <c r="HN195" t="s">
        <v>3</v>
      </c>
      <c r="HO195" t="s">
        <v>3</v>
      </c>
      <c r="HP195" t="s">
        <v>3</v>
      </c>
      <c r="HQ195" t="s">
        <v>3</v>
      </c>
      <c r="HS195">
        <v>0</v>
      </c>
      <c r="IK195">
        <v>0</v>
      </c>
    </row>
    <row r="196" spans="1:245" x14ac:dyDescent="0.2">
      <c r="A196">
        <v>17</v>
      </c>
      <c r="B196">
        <v>1</v>
      </c>
      <c r="E196" t="s">
        <v>73</v>
      </c>
      <c r="F196" t="s">
        <v>24</v>
      </c>
      <c r="G196" t="s">
        <v>254</v>
      </c>
      <c r="H196" t="s">
        <v>154</v>
      </c>
      <c r="I196">
        <v>1</v>
      </c>
      <c r="J196">
        <v>0</v>
      </c>
      <c r="K196">
        <v>1</v>
      </c>
      <c r="O196">
        <f t="shared" si="126"/>
        <v>1216633.3500000001</v>
      </c>
      <c r="P196">
        <f t="shared" si="127"/>
        <v>1216633.3500000001</v>
      </c>
      <c r="Q196">
        <f t="shared" si="128"/>
        <v>0</v>
      </c>
      <c r="R196">
        <f t="shared" si="129"/>
        <v>0</v>
      </c>
      <c r="S196">
        <f t="shared" si="130"/>
        <v>0</v>
      </c>
      <c r="T196">
        <f t="shared" si="131"/>
        <v>0</v>
      </c>
      <c r="U196">
        <f t="shared" si="132"/>
        <v>0</v>
      </c>
      <c r="V196">
        <f t="shared" si="133"/>
        <v>0</v>
      </c>
      <c r="W196">
        <f t="shared" si="134"/>
        <v>0</v>
      </c>
      <c r="X196">
        <f t="shared" si="135"/>
        <v>0</v>
      </c>
      <c r="Y196">
        <f t="shared" si="135"/>
        <v>0</v>
      </c>
      <c r="AA196">
        <v>81141517</v>
      </c>
      <c r="AB196">
        <f t="shared" si="136"/>
        <v>1216633.3500000001</v>
      </c>
      <c r="AC196">
        <f t="shared" si="137"/>
        <v>1216633.3500000001</v>
      </c>
      <c r="AD196">
        <f t="shared" si="138"/>
        <v>0</v>
      </c>
      <c r="AE196">
        <f t="shared" si="139"/>
        <v>0</v>
      </c>
      <c r="AF196">
        <f t="shared" si="139"/>
        <v>0</v>
      </c>
      <c r="AG196">
        <f t="shared" si="140"/>
        <v>0</v>
      </c>
      <c r="AH196">
        <f t="shared" si="141"/>
        <v>0</v>
      </c>
      <c r="AI196">
        <f t="shared" si="141"/>
        <v>0</v>
      </c>
      <c r="AJ196">
        <f t="shared" si="142"/>
        <v>0</v>
      </c>
      <c r="AK196">
        <v>1216633.3500000001</v>
      </c>
      <c r="AL196">
        <v>1216633.3500000001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1</v>
      </c>
      <c r="AW196">
        <v>1</v>
      </c>
      <c r="AZ196">
        <v>1</v>
      </c>
      <c r="BA196">
        <v>1</v>
      </c>
      <c r="BB196">
        <v>1</v>
      </c>
      <c r="BC196">
        <v>1</v>
      </c>
      <c r="BD196" t="s">
        <v>3</v>
      </c>
      <c r="BE196" t="s">
        <v>3</v>
      </c>
      <c r="BF196" t="s">
        <v>3</v>
      </c>
      <c r="BG196" t="s">
        <v>3</v>
      </c>
      <c r="BH196">
        <v>3</v>
      </c>
      <c r="BI196">
        <v>1</v>
      </c>
      <c r="BJ196" t="s">
        <v>3</v>
      </c>
      <c r="BM196">
        <v>6001</v>
      </c>
      <c r="BN196">
        <v>0</v>
      </c>
      <c r="BO196" t="s">
        <v>3</v>
      </c>
      <c r="BP196">
        <v>0</v>
      </c>
      <c r="BQ196">
        <v>0</v>
      </c>
      <c r="BR196">
        <v>0</v>
      </c>
      <c r="BS196">
        <v>1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3</v>
      </c>
      <c r="BZ196">
        <v>0</v>
      </c>
      <c r="CA196">
        <v>0</v>
      </c>
      <c r="CB196" t="s">
        <v>3</v>
      </c>
      <c r="CE196">
        <v>0</v>
      </c>
      <c r="CF196">
        <v>0</v>
      </c>
      <c r="CG196">
        <v>0</v>
      </c>
      <c r="CM196">
        <v>0</v>
      </c>
      <c r="CN196" t="s">
        <v>3</v>
      </c>
      <c r="CO196">
        <v>0</v>
      </c>
      <c r="CP196">
        <f t="shared" si="143"/>
        <v>1216633.3500000001</v>
      </c>
      <c r="CQ196">
        <f t="shared" si="144"/>
        <v>1216633.3500000001</v>
      </c>
      <c r="CR196">
        <f t="shared" si="145"/>
        <v>0</v>
      </c>
      <c r="CS196">
        <f t="shared" si="146"/>
        <v>0</v>
      </c>
      <c r="CT196">
        <f t="shared" si="147"/>
        <v>0</v>
      </c>
      <c r="CU196">
        <f t="shared" si="148"/>
        <v>0</v>
      </c>
      <c r="CV196">
        <f t="shared" si="149"/>
        <v>0</v>
      </c>
      <c r="CW196">
        <f t="shared" si="150"/>
        <v>0</v>
      </c>
      <c r="CX196">
        <f t="shared" si="150"/>
        <v>0</v>
      </c>
      <c r="CY196">
        <f t="shared" si="151"/>
        <v>0</v>
      </c>
      <c r="CZ196">
        <f t="shared" si="152"/>
        <v>0</v>
      </c>
      <c r="DC196" t="s">
        <v>3</v>
      </c>
      <c r="DD196" t="s">
        <v>3</v>
      </c>
      <c r="DE196" t="s">
        <v>3</v>
      </c>
      <c r="DF196" t="s">
        <v>3</v>
      </c>
      <c r="DG196" t="s">
        <v>3</v>
      </c>
      <c r="DH196" t="s">
        <v>3</v>
      </c>
      <c r="DI196" t="s">
        <v>3</v>
      </c>
      <c r="DJ196" t="s">
        <v>3</v>
      </c>
      <c r="DK196" t="s">
        <v>3</v>
      </c>
      <c r="DL196" t="s">
        <v>3</v>
      </c>
      <c r="DM196" t="s">
        <v>3</v>
      </c>
      <c r="DN196">
        <v>0</v>
      </c>
      <c r="DO196">
        <v>0</v>
      </c>
      <c r="DP196">
        <v>1</v>
      </c>
      <c r="DQ196">
        <v>1</v>
      </c>
      <c r="DU196">
        <v>1013</v>
      </c>
      <c r="DV196" t="s">
        <v>154</v>
      </c>
      <c r="DW196" t="s">
        <v>154</v>
      </c>
      <c r="DX196">
        <v>1</v>
      </c>
      <c r="DZ196" t="s">
        <v>3</v>
      </c>
      <c r="EA196" t="s">
        <v>3</v>
      </c>
      <c r="EB196" t="s">
        <v>3</v>
      </c>
      <c r="EC196" t="s">
        <v>3</v>
      </c>
      <c r="EE196">
        <v>80847375</v>
      </c>
      <c r="EF196">
        <v>0</v>
      </c>
      <c r="EG196" t="s">
        <v>246</v>
      </c>
      <c r="EH196">
        <v>0</v>
      </c>
      <c r="EI196" t="s">
        <v>3</v>
      </c>
      <c r="EJ196">
        <v>1</v>
      </c>
      <c r="EK196">
        <v>6001</v>
      </c>
      <c r="EL196" t="s">
        <v>247</v>
      </c>
      <c r="EM196" t="s">
        <v>246</v>
      </c>
      <c r="EO196" t="s">
        <v>3</v>
      </c>
      <c r="EQ196">
        <v>0</v>
      </c>
      <c r="ER196">
        <v>1216633.3500000001</v>
      </c>
      <c r="ES196">
        <v>1216633.3500000001</v>
      </c>
      <c r="ET196">
        <v>0</v>
      </c>
      <c r="EU196">
        <v>0</v>
      </c>
      <c r="EV196">
        <v>0</v>
      </c>
      <c r="EW196">
        <v>0</v>
      </c>
      <c r="EX196">
        <v>0</v>
      </c>
      <c r="EY196">
        <v>0</v>
      </c>
      <c r="EZ196">
        <v>5</v>
      </c>
      <c r="FC196">
        <v>1</v>
      </c>
      <c r="FD196">
        <v>18</v>
      </c>
      <c r="FF196">
        <v>1459960.02</v>
      </c>
      <c r="FQ196">
        <v>0</v>
      </c>
      <c r="FR196">
        <v>0</v>
      </c>
      <c r="FS196">
        <v>0</v>
      </c>
      <c r="FX196">
        <v>0</v>
      </c>
      <c r="FY196">
        <v>0</v>
      </c>
      <c r="GA196" t="s">
        <v>255</v>
      </c>
      <c r="GD196">
        <v>0</v>
      </c>
      <c r="GF196">
        <v>-557937021</v>
      </c>
      <c r="GG196">
        <v>2</v>
      </c>
      <c r="GH196">
        <v>3</v>
      </c>
      <c r="GI196">
        <v>-2</v>
      </c>
      <c r="GJ196">
        <v>0</v>
      </c>
      <c r="GK196">
        <f>ROUND(R196*(R12)/100,2)</f>
        <v>0</v>
      </c>
      <c r="GL196">
        <f t="shared" si="153"/>
        <v>0</v>
      </c>
      <c r="GM196">
        <f t="shared" si="154"/>
        <v>1216633.3500000001</v>
      </c>
      <c r="GN196">
        <f t="shared" si="155"/>
        <v>1216633.3500000001</v>
      </c>
      <c r="GO196">
        <f t="shared" si="156"/>
        <v>0</v>
      </c>
      <c r="GP196">
        <f t="shared" si="157"/>
        <v>0</v>
      </c>
      <c r="GR196">
        <v>1</v>
      </c>
      <c r="GS196">
        <v>1</v>
      </c>
      <c r="GT196">
        <v>0</v>
      </c>
      <c r="GU196" t="s">
        <v>3</v>
      </c>
      <c r="GV196">
        <f t="shared" si="158"/>
        <v>0</v>
      </c>
      <c r="GW196">
        <v>1</v>
      </c>
      <c r="GX196">
        <f t="shared" si="159"/>
        <v>0</v>
      </c>
      <c r="HA196">
        <v>0</v>
      </c>
      <c r="HB196">
        <v>0</v>
      </c>
      <c r="HC196">
        <f t="shared" si="160"/>
        <v>0</v>
      </c>
      <c r="HE196" t="s">
        <v>27</v>
      </c>
      <c r="HF196" t="s">
        <v>27</v>
      </c>
      <c r="HM196" t="s">
        <v>3</v>
      </c>
      <c r="HN196" t="s">
        <v>3</v>
      </c>
      <c r="HO196" t="s">
        <v>3</v>
      </c>
      <c r="HP196" t="s">
        <v>3</v>
      </c>
      <c r="HQ196" t="s">
        <v>3</v>
      </c>
      <c r="HS196">
        <v>0</v>
      </c>
      <c r="IK196">
        <v>0</v>
      </c>
    </row>
    <row r="197" spans="1:245" x14ac:dyDescent="0.2">
      <c r="A197">
        <v>17</v>
      </c>
      <c r="B197">
        <v>1</v>
      </c>
      <c r="E197" t="s">
        <v>83</v>
      </c>
      <c r="F197" t="s">
        <v>24</v>
      </c>
      <c r="G197" t="s">
        <v>322</v>
      </c>
      <c r="H197" t="s">
        <v>154</v>
      </c>
      <c r="I197">
        <v>1</v>
      </c>
      <c r="J197">
        <v>0</v>
      </c>
      <c r="K197">
        <v>1</v>
      </c>
      <c r="O197">
        <f t="shared" si="126"/>
        <v>1025950.01</v>
      </c>
      <c r="P197">
        <f t="shared" si="127"/>
        <v>1025950.01</v>
      </c>
      <c r="Q197">
        <f t="shared" si="128"/>
        <v>0</v>
      </c>
      <c r="R197">
        <f t="shared" si="129"/>
        <v>0</v>
      </c>
      <c r="S197">
        <f t="shared" si="130"/>
        <v>0</v>
      </c>
      <c r="T197">
        <f t="shared" si="131"/>
        <v>0</v>
      </c>
      <c r="U197">
        <f t="shared" si="132"/>
        <v>0</v>
      </c>
      <c r="V197">
        <f t="shared" si="133"/>
        <v>0</v>
      </c>
      <c r="W197">
        <f t="shared" si="134"/>
        <v>0</v>
      </c>
      <c r="X197">
        <f t="shared" si="135"/>
        <v>0</v>
      </c>
      <c r="Y197">
        <f t="shared" si="135"/>
        <v>0</v>
      </c>
      <c r="AA197">
        <v>81141517</v>
      </c>
      <c r="AB197">
        <f t="shared" si="136"/>
        <v>1025950.01</v>
      </c>
      <c r="AC197">
        <f t="shared" si="137"/>
        <v>1025950.01</v>
      </c>
      <c r="AD197">
        <f t="shared" si="138"/>
        <v>0</v>
      </c>
      <c r="AE197">
        <f t="shared" si="139"/>
        <v>0</v>
      </c>
      <c r="AF197">
        <f t="shared" si="139"/>
        <v>0</v>
      </c>
      <c r="AG197">
        <f t="shared" si="140"/>
        <v>0</v>
      </c>
      <c r="AH197">
        <f t="shared" si="141"/>
        <v>0</v>
      </c>
      <c r="AI197">
        <f t="shared" si="141"/>
        <v>0</v>
      </c>
      <c r="AJ197">
        <f t="shared" si="142"/>
        <v>0</v>
      </c>
      <c r="AK197">
        <v>1025950.01</v>
      </c>
      <c r="AL197">
        <v>1025950.01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1</v>
      </c>
      <c r="AW197">
        <v>1</v>
      </c>
      <c r="AZ197">
        <v>1</v>
      </c>
      <c r="BA197">
        <v>1</v>
      </c>
      <c r="BB197">
        <v>1</v>
      </c>
      <c r="BC197">
        <v>1</v>
      </c>
      <c r="BD197" t="s">
        <v>3</v>
      </c>
      <c r="BE197" t="s">
        <v>3</v>
      </c>
      <c r="BF197" t="s">
        <v>3</v>
      </c>
      <c r="BG197" t="s">
        <v>3</v>
      </c>
      <c r="BH197">
        <v>3</v>
      </c>
      <c r="BI197">
        <v>1</v>
      </c>
      <c r="BJ197" t="s">
        <v>3</v>
      </c>
      <c r="BM197">
        <v>6001</v>
      </c>
      <c r="BN197">
        <v>0</v>
      </c>
      <c r="BO197" t="s">
        <v>3</v>
      </c>
      <c r="BP197">
        <v>0</v>
      </c>
      <c r="BQ197">
        <v>0</v>
      </c>
      <c r="BR197">
        <v>0</v>
      </c>
      <c r="BS197">
        <v>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3</v>
      </c>
      <c r="BZ197">
        <v>0</v>
      </c>
      <c r="CA197">
        <v>0</v>
      </c>
      <c r="CB197" t="s">
        <v>3</v>
      </c>
      <c r="CE197">
        <v>0</v>
      </c>
      <c r="CF197">
        <v>0</v>
      </c>
      <c r="CG197">
        <v>0</v>
      </c>
      <c r="CM197">
        <v>0</v>
      </c>
      <c r="CN197" t="s">
        <v>3</v>
      </c>
      <c r="CO197">
        <v>0</v>
      </c>
      <c r="CP197">
        <f t="shared" si="143"/>
        <v>1025950.01</v>
      </c>
      <c r="CQ197">
        <f t="shared" si="144"/>
        <v>1025950.01</v>
      </c>
      <c r="CR197">
        <f t="shared" si="145"/>
        <v>0</v>
      </c>
      <c r="CS197">
        <f t="shared" si="146"/>
        <v>0</v>
      </c>
      <c r="CT197">
        <f t="shared" si="147"/>
        <v>0</v>
      </c>
      <c r="CU197">
        <f t="shared" si="148"/>
        <v>0</v>
      </c>
      <c r="CV197">
        <f t="shared" si="149"/>
        <v>0</v>
      </c>
      <c r="CW197">
        <f t="shared" si="150"/>
        <v>0</v>
      </c>
      <c r="CX197">
        <f t="shared" si="150"/>
        <v>0</v>
      </c>
      <c r="CY197">
        <f t="shared" si="151"/>
        <v>0</v>
      </c>
      <c r="CZ197">
        <f t="shared" si="152"/>
        <v>0</v>
      </c>
      <c r="DC197" t="s">
        <v>3</v>
      </c>
      <c r="DD197" t="s">
        <v>3</v>
      </c>
      <c r="DE197" t="s">
        <v>3</v>
      </c>
      <c r="DF197" t="s">
        <v>3</v>
      </c>
      <c r="DG197" t="s">
        <v>3</v>
      </c>
      <c r="DH197" t="s">
        <v>3</v>
      </c>
      <c r="DI197" t="s">
        <v>3</v>
      </c>
      <c r="DJ197" t="s">
        <v>3</v>
      </c>
      <c r="DK197" t="s">
        <v>3</v>
      </c>
      <c r="DL197" t="s">
        <v>3</v>
      </c>
      <c r="DM197" t="s">
        <v>3</v>
      </c>
      <c r="DN197">
        <v>0</v>
      </c>
      <c r="DO197">
        <v>0</v>
      </c>
      <c r="DP197">
        <v>1</v>
      </c>
      <c r="DQ197">
        <v>1</v>
      </c>
      <c r="DU197">
        <v>1013</v>
      </c>
      <c r="DV197" t="s">
        <v>154</v>
      </c>
      <c r="DW197" t="s">
        <v>154</v>
      </c>
      <c r="DX197">
        <v>1</v>
      </c>
      <c r="DZ197" t="s">
        <v>3</v>
      </c>
      <c r="EA197" t="s">
        <v>3</v>
      </c>
      <c r="EB197" t="s">
        <v>3</v>
      </c>
      <c r="EC197" t="s">
        <v>3</v>
      </c>
      <c r="EE197">
        <v>80847375</v>
      </c>
      <c r="EF197">
        <v>0</v>
      </c>
      <c r="EG197" t="s">
        <v>246</v>
      </c>
      <c r="EH197">
        <v>0</v>
      </c>
      <c r="EI197" t="s">
        <v>3</v>
      </c>
      <c r="EJ197">
        <v>1</v>
      </c>
      <c r="EK197">
        <v>6001</v>
      </c>
      <c r="EL197" t="s">
        <v>247</v>
      </c>
      <c r="EM197" t="s">
        <v>246</v>
      </c>
      <c r="EO197" t="s">
        <v>3</v>
      </c>
      <c r="EQ197">
        <v>0</v>
      </c>
      <c r="ER197">
        <v>1025950.01</v>
      </c>
      <c r="ES197">
        <v>1025950.01</v>
      </c>
      <c r="ET197">
        <v>0</v>
      </c>
      <c r="EU197">
        <v>0</v>
      </c>
      <c r="EV197">
        <v>0</v>
      </c>
      <c r="EW197">
        <v>0</v>
      </c>
      <c r="EX197">
        <v>0</v>
      </c>
      <c r="EY197">
        <v>0</v>
      </c>
      <c r="EZ197">
        <v>5</v>
      </c>
      <c r="FC197">
        <v>1</v>
      </c>
      <c r="FD197">
        <v>18</v>
      </c>
      <c r="FF197">
        <v>1231140.01</v>
      </c>
      <c r="FQ197">
        <v>0</v>
      </c>
      <c r="FR197">
        <v>0</v>
      </c>
      <c r="FS197">
        <v>0</v>
      </c>
      <c r="FX197">
        <v>0</v>
      </c>
      <c r="FY197">
        <v>0</v>
      </c>
      <c r="GA197" t="s">
        <v>256</v>
      </c>
      <c r="GD197">
        <v>0</v>
      </c>
      <c r="GF197">
        <v>357705870</v>
      </c>
      <c r="GG197">
        <v>2</v>
      </c>
      <c r="GH197">
        <v>3</v>
      </c>
      <c r="GI197">
        <v>-2</v>
      </c>
      <c r="GJ197">
        <v>0</v>
      </c>
      <c r="GK197">
        <f>ROUND(R197*(R12)/100,2)</f>
        <v>0</v>
      </c>
      <c r="GL197">
        <f t="shared" si="153"/>
        <v>0</v>
      </c>
      <c r="GM197">
        <f t="shared" si="154"/>
        <v>1025950.01</v>
      </c>
      <c r="GN197">
        <f t="shared" si="155"/>
        <v>1025950.01</v>
      </c>
      <c r="GO197">
        <f t="shared" si="156"/>
        <v>0</v>
      </c>
      <c r="GP197">
        <f t="shared" si="157"/>
        <v>0</v>
      </c>
      <c r="GR197">
        <v>1</v>
      </c>
      <c r="GS197">
        <v>1</v>
      </c>
      <c r="GT197">
        <v>0</v>
      </c>
      <c r="GU197" t="s">
        <v>3</v>
      </c>
      <c r="GV197">
        <f t="shared" si="158"/>
        <v>0</v>
      </c>
      <c r="GW197">
        <v>1</v>
      </c>
      <c r="GX197">
        <f t="shared" si="159"/>
        <v>0</v>
      </c>
      <c r="HA197">
        <v>0</v>
      </c>
      <c r="HB197">
        <v>0</v>
      </c>
      <c r="HC197">
        <f t="shared" si="160"/>
        <v>0</v>
      </c>
      <c r="HE197" t="s">
        <v>27</v>
      </c>
      <c r="HF197" t="s">
        <v>27</v>
      </c>
      <c r="HM197" t="s">
        <v>3</v>
      </c>
      <c r="HN197" t="s">
        <v>3</v>
      </c>
      <c r="HO197" t="s">
        <v>3</v>
      </c>
      <c r="HP197" t="s">
        <v>3</v>
      </c>
      <c r="HQ197" t="s">
        <v>3</v>
      </c>
      <c r="HS197">
        <v>0</v>
      </c>
      <c r="IK197">
        <v>0</v>
      </c>
    </row>
    <row r="198" spans="1:245" x14ac:dyDescent="0.2">
      <c r="A198">
        <v>17</v>
      </c>
      <c r="B198">
        <v>1</v>
      </c>
      <c r="E198" t="s">
        <v>104</v>
      </c>
      <c r="F198" t="s">
        <v>24</v>
      </c>
      <c r="G198" t="s">
        <v>323</v>
      </c>
      <c r="H198" t="s">
        <v>154</v>
      </c>
      <c r="I198">
        <v>1</v>
      </c>
      <c r="J198">
        <v>0</v>
      </c>
      <c r="K198">
        <v>1</v>
      </c>
      <c r="O198">
        <f t="shared" si="126"/>
        <v>1372399.97</v>
      </c>
      <c r="P198">
        <f t="shared" si="127"/>
        <v>1372399.97</v>
      </c>
      <c r="Q198">
        <f t="shared" si="128"/>
        <v>0</v>
      </c>
      <c r="R198">
        <f t="shared" si="129"/>
        <v>0</v>
      </c>
      <c r="S198">
        <f t="shared" si="130"/>
        <v>0</v>
      </c>
      <c r="T198">
        <f t="shared" si="131"/>
        <v>0</v>
      </c>
      <c r="U198">
        <f t="shared" si="132"/>
        <v>0</v>
      </c>
      <c r="V198">
        <f t="shared" si="133"/>
        <v>0</v>
      </c>
      <c r="W198">
        <f t="shared" si="134"/>
        <v>0</v>
      </c>
      <c r="X198">
        <f t="shared" si="135"/>
        <v>0</v>
      </c>
      <c r="Y198">
        <f t="shared" si="135"/>
        <v>0</v>
      </c>
      <c r="AA198">
        <v>81141517</v>
      </c>
      <c r="AB198">
        <f t="shared" si="136"/>
        <v>1372399.97</v>
      </c>
      <c r="AC198">
        <f t="shared" si="137"/>
        <v>1372399.97</v>
      </c>
      <c r="AD198">
        <f t="shared" si="138"/>
        <v>0</v>
      </c>
      <c r="AE198">
        <f t="shared" si="139"/>
        <v>0</v>
      </c>
      <c r="AF198">
        <f t="shared" si="139"/>
        <v>0</v>
      </c>
      <c r="AG198">
        <f t="shared" si="140"/>
        <v>0</v>
      </c>
      <c r="AH198">
        <f t="shared" si="141"/>
        <v>0</v>
      </c>
      <c r="AI198">
        <f t="shared" si="141"/>
        <v>0</v>
      </c>
      <c r="AJ198">
        <f t="shared" si="142"/>
        <v>0</v>
      </c>
      <c r="AK198">
        <v>1372399.97</v>
      </c>
      <c r="AL198">
        <v>1372399.97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1</v>
      </c>
      <c r="AW198">
        <v>1</v>
      </c>
      <c r="AZ198">
        <v>1</v>
      </c>
      <c r="BA198">
        <v>1</v>
      </c>
      <c r="BB198">
        <v>1</v>
      </c>
      <c r="BC198">
        <v>1</v>
      </c>
      <c r="BD198" t="s">
        <v>3</v>
      </c>
      <c r="BE198" t="s">
        <v>3</v>
      </c>
      <c r="BF198" t="s">
        <v>3</v>
      </c>
      <c r="BG198" t="s">
        <v>3</v>
      </c>
      <c r="BH198">
        <v>3</v>
      </c>
      <c r="BI198">
        <v>1</v>
      </c>
      <c r="BJ198" t="s">
        <v>3</v>
      </c>
      <c r="BM198">
        <v>6001</v>
      </c>
      <c r="BN198">
        <v>0</v>
      </c>
      <c r="BO198" t="s">
        <v>3</v>
      </c>
      <c r="BP198">
        <v>0</v>
      </c>
      <c r="BQ198">
        <v>0</v>
      </c>
      <c r="BR198">
        <v>0</v>
      </c>
      <c r="BS198">
        <v>1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3</v>
      </c>
      <c r="BZ198">
        <v>0</v>
      </c>
      <c r="CA198">
        <v>0</v>
      </c>
      <c r="CB198" t="s">
        <v>3</v>
      </c>
      <c r="CE198">
        <v>0</v>
      </c>
      <c r="CF198">
        <v>0</v>
      </c>
      <c r="CG198">
        <v>0</v>
      </c>
      <c r="CM198">
        <v>0</v>
      </c>
      <c r="CN198" t="s">
        <v>3</v>
      </c>
      <c r="CO198">
        <v>0</v>
      </c>
      <c r="CP198">
        <f t="shared" si="143"/>
        <v>1372399.97</v>
      </c>
      <c r="CQ198">
        <f t="shared" si="144"/>
        <v>1372399.97</v>
      </c>
      <c r="CR198">
        <f t="shared" si="145"/>
        <v>0</v>
      </c>
      <c r="CS198">
        <f t="shared" si="146"/>
        <v>0</v>
      </c>
      <c r="CT198">
        <f t="shared" si="147"/>
        <v>0</v>
      </c>
      <c r="CU198">
        <f t="shared" si="148"/>
        <v>0</v>
      </c>
      <c r="CV198">
        <f t="shared" si="149"/>
        <v>0</v>
      </c>
      <c r="CW198">
        <f t="shared" si="150"/>
        <v>0</v>
      </c>
      <c r="CX198">
        <f t="shared" si="150"/>
        <v>0</v>
      </c>
      <c r="CY198">
        <f t="shared" si="151"/>
        <v>0</v>
      </c>
      <c r="CZ198">
        <f t="shared" si="152"/>
        <v>0</v>
      </c>
      <c r="DC198" t="s">
        <v>3</v>
      </c>
      <c r="DD198" t="s">
        <v>3</v>
      </c>
      <c r="DE198" t="s">
        <v>3</v>
      </c>
      <c r="DF198" t="s">
        <v>3</v>
      </c>
      <c r="DG198" t="s">
        <v>3</v>
      </c>
      <c r="DH198" t="s">
        <v>3</v>
      </c>
      <c r="DI198" t="s">
        <v>3</v>
      </c>
      <c r="DJ198" t="s">
        <v>3</v>
      </c>
      <c r="DK198" t="s">
        <v>3</v>
      </c>
      <c r="DL198" t="s">
        <v>3</v>
      </c>
      <c r="DM198" t="s">
        <v>3</v>
      </c>
      <c r="DN198">
        <v>0</v>
      </c>
      <c r="DO198">
        <v>0</v>
      </c>
      <c r="DP198">
        <v>1</v>
      </c>
      <c r="DQ198">
        <v>1</v>
      </c>
      <c r="DU198">
        <v>1013</v>
      </c>
      <c r="DV198" t="s">
        <v>154</v>
      </c>
      <c r="DW198" t="s">
        <v>154</v>
      </c>
      <c r="DX198">
        <v>1</v>
      </c>
      <c r="DZ198" t="s">
        <v>3</v>
      </c>
      <c r="EA198" t="s">
        <v>3</v>
      </c>
      <c r="EB198" t="s">
        <v>3</v>
      </c>
      <c r="EC198" t="s">
        <v>3</v>
      </c>
      <c r="EE198">
        <v>80847375</v>
      </c>
      <c r="EF198">
        <v>0</v>
      </c>
      <c r="EG198" t="s">
        <v>246</v>
      </c>
      <c r="EH198">
        <v>0</v>
      </c>
      <c r="EI198" t="s">
        <v>3</v>
      </c>
      <c r="EJ198">
        <v>1</v>
      </c>
      <c r="EK198">
        <v>6001</v>
      </c>
      <c r="EL198" t="s">
        <v>247</v>
      </c>
      <c r="EM198" t="s">
        <v>246</v>
      </c>
      <c r="EO198" t="s">
        <v>3</v>
      </c>
      <c r="EQ198">
        <v>0</v>
      </c>
      <c r="ER198">
        <v>1372399.97</v>
      </c>
      <c r="ES198">
        <v>1372399.97</v>
      </c>
      <c r="ET198">
        <v>0</v>
      </c>
      <c r="EU198">
        <v>0</v>
      </c>
      <c r="EV198">
        <v>0</v>
      </c>
      <c r="EW198">
        <v>0</v>
      </c>
      <c r="EX198">
        <v>0</v>
      </c>
      <c r="EY198">
        <v>0</v>
      </c>
      <c r="EZ198">
        <v>5</v>
      </c>
      <c r="FC198">
        <v>1</v>
      </c>
      <c r="FD198">
        <v>18</v>
      </c>
      <c r="FF198">
        <v>1646879.96</v>
      </c>
      <c r="FQ198">
        <v>0</v>
      </c>
      <c r="FR198">
        <v>0</v>
      </c>
      <c r="FS198">
        <v>0</v>
      </c>
      <c r="FX198">
        <v>0</v>
      </c>
      <c r="FY198">
        <v>0</v>
      </c>
      <c r="GA198" t="s">
        <v>257</v>
      </c>
      <c r="GD198">
        <v>0</v>
      </c>
      <c r="GF198">
        <v>-630559716</v>
      </c>
      <c r="GG198">
        <v>2</v>
      </c>
      <c r="GH198">
        <v>3</v>
      </c>
      <c r="GI198">
        <v>-2</v>
      </c>
      <c r="GJ198">
        <v>0</v>
      </c>
      <c r="GK198">
        <f>ROUND(R198*(R12)/100,2)</f>
        <v>0</v>
      </c>
      <c r="GL198">
        <f t="shared" si="153"/>
        <v>0</v>
      </c>
      <c r="GM198">
        <f t="shared" si="154"/>
        <v>1372399.97</v>
      </c>
      <c r="GN198">
        <f t="shared" si="155"/>
        <v>1372399.97</v>
      </c>
      <c r="GO198">
        <f t="shared" si="156"/>
        <v>0</v>
      </c>
      <c r="GP198">
        <f t="shared" si="157"/>
        <v>0</v>
      </c>
      <c r="GR198">
        <v>1</v>
      </c>
      <c r="GS198">
        <v>1</v>
      </c>
      <c r="GT198">
        <v>0</v>
      </c>
      <c r="GU198" t="s">
        <v>3</v>
      </c>
      <c r="GV198">
        <f t="shared" si="158"/>
        <v>0</v>
      </c>
      <c r="GW198">
        <v>1</v>
      </c>
      <c r="GX198">
        <f t="shared" si="159"/>
        <v>0</v>
      </c>
      <c r="HA198">
        <v>0</v>
      </c>
      <c r="HB198">
        <v>0</v>
      </c>
      <c r="HC198">
        <f t="shared" si="160"/>
        <v>0</v>
      </c>
      <c r="HE198" t="s">
        <v>27</v>
      </c>
      <c r="HF198" t="s">
        <v>27</v>
      </c>
      <c r="HM198" t="s">
        <v>3</v>
      </c>
      <c r="HN198" t="s">
        <v>3</v>
      </c>
      <c r="HO198" t="s">
        <v>3</v>
      </c>
      <c r="HP198" t="s">
        <v>3</v>
      </c>
      <c r="HQ198" t="s">
        <v>3</v>
      </c>
      <c r="HS198">
        <v>0</v>
      </c>
      <c r="IK198">
        <v>0</v>
      </c>
    </row>
    <row r="199" spans="1:245" x14ac:dyDescent="0.2">
      <c r="A199">
        <v>17</v>
      </c>
      <c r="B199">
        <v>1</v>
      </c>
      <c r="E199" t="s">
        <v>114</v>
      </c>
      <c r="F199" t="s">
        <v>24</v>
      </c>
      <c r="G199" t="s">
        <v>324</v>
      </c>
      <c r="H199" t="s">
        <v>154</v>
      </c>
      <c r="I199">
        <v>1</v>
      </c>
      <c r="J199">
        <v>0</v>
      </c>
      <c r="K199">
        <v>1</v>
      </c>
      <c r="O199">
        <f t="shared" si="126"/>
        <v>1008000.02</v>
      </c>
      <c r="P199">
        <f t="shared" si="127"/>
        <v>1008000.02</v>
      </c>
      <c r="Q199">
        <f t="shared" si="128"/>
        <v>0</v>
      </c>
      <c r="R199">
        <f t="shared" si="129"/>
        <v>0</v>
      </c>
      <c r="S199">
        <f t="shared" si="130"/>
        <v>0</v>
      </c>
      <c r="T199">
        <f t="shared" si="131"/>
        <v>0</v>
      </c>
      <c r="U199">
        <f t="shared" si="132"/>
        <v>0</v>
      </c>
      <c r="V199">
        <f t="shared" si="133"/>
        <v>0</v>
      </c>
      <c r="W199">
        <f t="shared" si="134"/>
        <v>0</v>
      </c>
      <c r="X199">
        <f t="shared" si="135"/>
        <v>0</v>
      </c>
      <c r="Y199">
        <f t="shared" si="135"/>
        <v>0</v>
      </c>
      <c r="AA199">
        <v>81141517</v>
      </c>
      <c r="AB199">
        <f t="shared" si="136"/>
        <v>1008000.02</v>
      </c>
      <c r="AC199">
        <f t="shared" si="137"/>
        <v>1008000.02</v>
      </c>
      <c r="AD199">
        <f t="shared" si="138"/>
        <v>0</v>
      </c>
      <c r="AE199">
        <f t="shared" si="139"/>
        <v>0</v>
      </c>
      <c r="AF199">
        <f t="shared" si="139"/>
        <v>0</v>
      </c>
      <c r="AG199">
        <f t="shared" si="140"/>
        <v>0</v>
      </c>
      <c r="AH199">
        <f t="shared" si="141"/>
        <v>0</v>
      </c>
      <c r="AI199">
        <f t="shared" si="141"/>
        <v>0</v>
      </c>
      <c r="AJ199">
        <f t="shared" si="142"/>
        <v>0</v>
      </c>
      <c r="AK199">
        <v>1008000.02</v>
      </c>
      <c r="AL199">
        <v>1008000.02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1</v>
      </c>
      <c r="AW199">
        <v>1</v>
      </c>
      <c r="AZ199">
        <v>1</v>
      </c>
      <c r="BA199">
        <v>1</v>
      </c>
      <c r="BB199">
        <v>1</v>
      </c>
      <c r="BC199">
        <v>1</v>
      </c>
      <c r="BD199" t="s">
        <v>3</v>
      </c>
      <c r="BE199" t="s">
        <v>3</v>
      </c>
      <c r="BF199" t="s">
        <v>3</v>
      </c>
      <c r="BG199" t="s">
        <v>3</v>
      </c>
      <c r="BH199">
        <v>3</v>
      </c>
      <c r="BI199">
        <v>1</v>
      </c>
      <c r="BJ199" t="s">
        <v>3</v>
      </c>
      <c r="BM199">
        <v>6001</v>
      </c>
      <c r="BN199">
        <v>0</v>
      </c>
      <c r="BO199" t="s">
        <v>3</v>
      </c>
      <c r="BP199">
        <v>0</v>
      </c>
      <c r="BQ199">
        <v>0</v>
      </c>
      <c r="BR199">
        <v>0</v>
      </c>
      <c r="BS199">
        <v>1</v>
      </c>
      <c r="BT199">
        <v>1</v>
      </c>
      <c r="BU199">
        <v>1</v>
      </c>
      <c r="BV199">
        <v>1</v>
      </c>
      <c r="BW199">
        <v>1</v>
      </c>
      <c r="BX199">
        <v>1</v>
      </c>
      <c r="BY199" t="s">
        <v>3</v>
      </c>
      <c r="BZ199">
        <v>0</v>
      </c>
      <c r="CA199">
        <v>0</v>
      </c>
      <c r="CB199" t="s">
        <v>3</v>
      </c>
      <c r="CE199">
        <v>0</v>
      </c>
      <c r="CF199">
        <v>0</v>
      </c>
      <c r="CG199">
        <v>0</v>
      </c>
      <c r="CM199">
        <v>0</v>
      </c>
      <c r="CN199" t="s">
        <v>3</v>
      </c>
      <c r="CO199">
        <v>0</v>
      </c>
      <c r="CP199">
        <f t="shared" si="143"/>
        <v>1008000.02</v>
      </c>
      <c r="CQ199">
        <f t="shared" si="144"/>
        <v>1008000.02</v>
      </c>
      <c r="CR199">
        <f t="shared" si="145"/>
        <v>0</v>
      </c>
      <c r="CS199">
        <f t="shared" si="146"/>
        <v>0</v>
      </c>
      <c r="CT199">
        <f t="shared" si="147"/>
        <v>0</v>
      </c>
      <c r="CU199">
        <f t="shared" si="148"/>
        <v>0</v>
      </c>
      <c r="CV199">
        <f t="shared" si="149"/>
        <v>0</v>
      </c>
      <c r="CW199">
        <f t="shared" si="150"/>
        <v>0</v>
      </c>
      <c r="CX199">
        <f t="shared" si="150"/>
        <v>0</v>
      </c>
      <c r="CY199">
        <f t="shared" si="151"/>
        <v>0</v>
      </c>
      <c r="CZ199">
        <f t="shared" si="152"/>
        <v>0</v>
      </c>
      <c r="DC199" t="s">
        <v>3</v>
      </c>
      <c r="DD199" t="s">
        <v>3</v>
      </c>
      <c r="DE199" t="s">
        <v>3</v>
      </c>
      <c r="DF199" t="s">
        <v>3</v>
      </c>
      <c r="DG199" t="s">
        <v>3</v>
      </c>
      <c r="DH199" t="s">
        <v>3</v>
      </c>
      <c r="DI199" t="s">
        <v>3</v>
      </c>
      <c r="DJ199" t="s">
        <v>3</v>
      </c>
      <c r="DK199" t="s">
        <v>3</v>
      </c>
      <c r="DL199" t="s">
        <v>3</v>
      </c>
      <c r="DM199" t="s">
        <v>3</v>
      </c>
      <c r="DN199">
        <v>0</v>
      </c>
      <c r="DO199">
        <v>0</v>
      </c>
      <c r="DP199">
        <v>1</v>
      </c>
      <c r="DQ199">
        <v>1</v>
      </c>
      <c r="DU199">
        <v>1013</v>
      </c>
      <c r="DV199" t="s">
        <v>154</v>
      </c>
      <c r="DW199" t="s">
        <v>154</v>
      </c>
      <c r="DX199">
        <v>1</v>
      </c>
      <c r="DZ199" t="s">
        <v>3</v>
      </c>
      <c r="EA199" t="s">
        <v>3</v>
      </c>
      <c r="EB199" t="s">
        <v>3</v>
      </c>
      <c r="EC199" t="s">
        <v>3</v>
      </c>
      <c r="EE199">
        <v>80847375</v>
      </c>
      <c r="EF199">
        <v>0</v>
      </c>
      <c r="EG199" t="s">
        <v>246</v>
      </c>
      <c r="EH199">
        <v>0</v>
      </c>
      <c r="EI199" t="s">
        <v>3</v>
      </c>
      <c r="EJ199">
        <v>1</v>
      </c>
      <c r="EK199">
        <v>6001</v>
      </c>
      <c r="EL199" t="s">
        <v>247</v>
      </c>
      <c r="EM199" t="s">
        <v>246</v>
      </c>
      <c r="EO199" t="s">
        <v>3</v>
      </c>
      <c r="EQ199">
        <v>0</v>
      </c>
      <c r="ER199">
        <v>1008000.02</v>
      </c>
      <c r="ES199">
        <v>1008000.02</v>
      </c>
      <c r="ET199">
        <v>0</v>
      </c>
      <c r="EU199">
        <v>0</v>
      </c>
      <c r="EV199">
        <v>0</v>
      </c>
      <c r="EW199">
        <v>0</v>
      </c>
      <c r="EX199">
        <v>0</v>
      </c>
      <c r="EY199">
        <v>0</v>
      </c>
      <c r="EZ199">
        <v>5</v>
      </c>
      <c r="FC199">
        <v>1</v>
      </c>
      <c r="FD199">
        <v>18</v>
      </c>
      <c r="FF199">
        <v>1209600.02</v>
      </c>
      <c r="FQ199">
        <v>0</v>
      </c>
      <c r="FR199">
        <v>0</v>
      </c>
      <c r="FS199">
        <v>0</v>
      </c>
      <c r="FX199">
        <v>0</v>
      </c>
      <c r="FY199">
        <v>0</v>
      </c>
      <c r="GA199" t="s">
        <v>258</v>
      </c>
      <c r="GD199">
        <v>0</v>
      </c>
      <c r="GF199">
        <v>398826196</v>
      </c>
      <c r="GG199">
        <v>2</v>
      </c>
      <c r="GH199">
        <v>3</v>
      </c>
      <c r="GI199">
        <v>-2</v>
      </c>
      <c r="GJ199">
        <v>0</v>
      </c>
      <c r="GK199">
        <f>ROUND(R199*(R12)/100,2)</f>
        <v>0</v>
      </c>
      <c r="GL199">
        <f t="shared" si="153"/>
        <v>0</v>
      </c>
      <c r="GM199">
        <f t="shared" si="154"/>
        <v>1008000.02</v>
      </c>
      <c r="GN199">
        <f t="shared" si="155"/>
        <v>1008000.02</v>
      </c>
      <c r="GO199">
        <f t="shared" si="156"/>
        <v>0</v>
      </c>
      <c r="GP199">
        <f t="shared" si="157"/>
        <v>0</v>
      </c>
      <c r="GR199">
        <v>1</v>
      </c>
      <c r="GS199">
        <v>1</v>
      </c>
      <c r="GT199">
        <v>0</v>
      </c>
      <c r="GU199" t="s">
        <v>3</v>
      </c>
      <c r="GV199">
        <f t="shared" si="158"/>
        <v>0</v>
      </c>
      <c r="GW199">
        <v>1</v>
      </c>
      <c r="GX199">
        <f t="shared" si="159"/>
        <v>0</v>
      </c>
      <c r="HA199">
        <v>0</v>
      </c>
      <c r="HB199">
        <v>0</v>
      </c>
      <c r="HC199">
        <f t="shared" si="160"/>
        <v>0</v>
      </c>
      <c r="HE199" t="s">
        <v>27</v>
      </c>
      <c r="HF199" t="s">
        <v>27</v>
      </c>
      <c r="HM199" t="s">
        <v>3</v>
      </c>
      <c r="HN199" t="s">
        <v>3</v>
      </c>
      <c r="HO199" t="s">
        <v>3</v>
      </c>
      <c r="HP199" t="s">
        <v>3</v>
      </c>
      <c r="HQ199" t="s">
        <v>3</v>
      </c>
      <c r="HS199">
        <v>0</v>
      </c>
      <c r="IK199">
        <v>0</v>
      </c>
    </row>
    <row r="200" spans="1:245" x14ac:dyDescent="0.2">
      <c r="A200">
        <v>17</v>
      </c>
      <c r="B200">
        <v>1</v>
      </c>
      <c r="E200" t="s">
        <v>121</v>
      </c>
      <c r="F200" t="s">
        <v>24</v>
      </c>
      <c r="G200" t="s">
        <v>259</v>
      </c>
      <c r="H200" t="s">
        <v>154</v>
      </c>
      <c r="I200">
        <v>1</v>
      </c>
      <c r="J200">
        <v>0</v>
      </c>
      <c r="K200">
        <v>1</v>
      </c>
      <c r="O200">
        <f t="shared" si="126"/>
        <v>1134331.6299999999</v>
      </c>
      <c r="P200">
        <f t="shared" si="127"/>
        <v>1134331.6299999999</v>
      </c>
      <c r="Q200">
        <f t="shared" si="128"/>
        <v>0</v>
      </c>
      <c r="R200">
        <f t="shared" si="129"/>
        <v>0</v>
      </c>
      <c r="S200">
        <f t="shared" si="130"/>
        <v>0</v>
      </c>
      <c r="T200">
        <f t="shared" si="131"/>
        <v>0</v>
      </c>
      <c r="U200">
        <f t="shared" si="132"/>
        <v>0</v>
      </c>
      <c r="V200">
        <f t="shared" si="133"/>
        <v>0</v>
      </c>
      <c r="W200">
        <f t="shared" si="134"/>
        <v>0</v>
      </c>
      <c r="X200">
        <f t="shared" si="135"/>
        <v>0</v>
      </c>
      <c r="Y200">
        <f t="shared" si="135"/>
        <v>0</v>
      </c>
      <c r="AA200">
        <v>81141517</v>
      </c>
      <c r="AB200">
        <f t="shared" si="136"/>
        <v>1134331.6299999999</v>
      </c>
      <c r="AC200">
        <f t="shared" si="137"/>
        <v>1134331.6299999999</v>
      </c>
      <c r="AD200">
        <f t="shared" si="138"/>
        <v>0</v>
      </c>
      <c r="AE200">
        <f t="shared" si="139"/>
        <v>0</v>
      </c>
      <c r="AF200">
        <f t="shared" si="139"/>
        <v>0</v>
      </c>
      <c r="AG200">
        <f t="shared" si="140"/>
        <v>0</v>
      </c>
      <c r="AH200">
        <f t="shared" si="141"/>
        <v>0</v>
      </c>
      <c r="AI200">
        <f t="shared" si="141"/>
        <v>0</v>
      </c>
      <c r="AJ200">
        <f t="shared" si="142"/>
        <v>0</v>
      </c>
      <c r="AK200">
        <v>1134331.6299999999</v>
      </c>
      <c r="AL200">
        <v>1134331.6299999999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1</v>
      </c>
      <c r="AW200">
        <v>1</v>
      </c>
      <c r="AZ200">
        <v>1</v>
      </c>
      <c r="BA200">
        <v>1</v>
      </c>
      <c r="BB200">
        <v>1</v>
      </c>
      <c r="BC200">
        <v>1</v>
      </c>
      <c r="BD200" t="s">
        <v>3</v>
      </c>
      <c r="BE200" t="s">
        <v>3</v>
      </c>
      <c r="BF200" t="s">
        <v>3</v>
      </c>
      <c r="BG200" t="s">
        <v>3</v>
      </c>
      <c r="BH200">
        <v>3</v>
      </c>
      <c r="BI200">
        <v>1</v>
      </c>
      <c r="BJ200" t="s">
        <v>3</v>
      </c>
      <c r="BM200">
        <v>6001</v>
      </c>
      <c r="BN200">
        <v>0</v>
      </c>
      <c r="BO200" t="s">
        <v>3</v>
      </c>
      <c r="BP200">
        <v>0</v>
      </c>
      <c r="BQ200">
        <v>0</v>
      </c>
      <c r="BR200">
        <v>0</v>
      </c>
      <c r="BS200">
        <v>1</v>
      </c>
      <c r="BT200">
        <v>1</v>
      </c>
      <c r="BU200">
        <v>1</v>
      </c>
      <c r="BV200">
        <v>1</v>
      </c>
      <c r="BW200">
        <v>1</v>
      </c>
      <c r="BX200">
        <v>1</v>
      </c>
      <c r="BY200" t="s">
        <v>3</v>
      </c>
      <c r="BZ200">
        <v>0</v>
      </c>
      <c r="CA200">
        <v>0</v>
      </c>
      <c r="CB200" t="s">
        <v>3</v>
      </c>
      <c r="CE200">
        <v>0</v>
      </c>
      <c r="CF200">
        <v>0</v>
      </c>
      <c r="CG200">
        <v>0</v>
      </c>
      <c r="CM200">
        <v>0</v>
      </c>
      <c r="CN200" t="s">
        <v>3</v>
      </c>
      <c r="CO200">
        <v>0</v>
      </c>
      <c r="CP200">
        <f t="shared" si="143"/>
        <v>1134331.6299999999</v>
      </c>
      <c r="CQ200">
        <f t="shared" si="144"/>
        <v>1134331.6299999999</v>
      </c>
      <c r="CR200">
        <f t="shared" si="145"/>
        <v>0</v>
      </c>
      <c r="CS200">
        <f t="shared" si="146"/>
        <v>0</v>
      </c>
      <c r="CT200">
        <f t="shared" si="147"/>
        <v>0</v>
      </c>
      <c r="CU200">
        <f t="shared" si="148"/>
        <v>0</v>
      </c>
      <c r="CV200">
        <f t="shared" si="149"/>
        <v>0</v>
      </c>
      <c r="CW200">
        <f t="shared" si="150"/>
        <v>0</v>
      </c>
      <c r="CX200">
        <f t="shared" si="150"/>
        <v>0</v>
      </c>
      <c r="CY200">
        <f t="shared" si="151"/>
        <v>0</v>
      </c>
      <c r="CZ200">
        <f t="shared" si="152"/>
        <v>0</v>
      </c>
      <c r="DC200" t="s">
        <v>3</v>
      </c>
      <c r="DD200" t="s">
        <v>3</v>
      </c>
      <c r="DE200" t="s">
        <v>3</v>
      </c>
      <c r="DF200" t="s">
        <v>3</v>
      </c>
      <c r="DG200" t="s">
        <v>3</v>
      </c>
      <c r="DH200" t="s">
        <v>3</v>
      </c>
      <c r="DI200" t="s">
        <v>3</v>
      </c>
      <c r="DJ200" t="s">
        <v>3</v>
      </c>
      <c r="DK200" t="s">
        <v>3</v>
      </c>
      <c r="DL200" t="s">
        <v>3</v>
      </c>
      <c r="DM200" t="s">
        <v>3</v>
      </c>
      <c r="DN200">
        <v>0</v>
      </c>
      <c r="DO200">
        <v>0</v>
      </c>
      <c r="DP200">
        <v>1</v>
      </c>
      <c r="DQ200">
        <v>1</v>
      </c>
      <c r="DU200">
        <v>1013</v>
      </c>
      <c r="DV200" t="s">
        <v>154</v>
      </c>
      <c r="DW200" t="s">
        <v>154</v>
      </c>
      <c r="DX200">
        <v>1</v>
      </c>
      <c r="DZ200" t="s">
        <v>3</v>
      </c>
      <c r="EA200" t="s">
        <v>3</v>
      </c>
      <c r="EB200" t="s">
        <v>3</v>
      </c>
      <c r="EC200" t="s">
        <v>3</v>
      </c>
      <c r="EE200">
        <v>80847375</v>
      </c>
      <c r="EF200">
        <v>0</v>
      </c>
      <c r="EG200" t="s">
        <v>246</v>
      </c>
      <c r="EH200">
        <v>0</v>
      </c>
      <c r="EI200" t="s">
        <v>3</v>
      </c>
      <c r="EJ200">
        <v>1</v>
      </c>
      <c r="EK200">
        <v>6001</v>
      </c>
      <c r="EL200" t="s">
        <v>247</v>
      </c>
      <c r="EM200" t="s">
        <v>246</v>
      </c>
      <c r="EO200" t="s">
        <v>3</v>
      </c>
      <c r="EQ200">
        <v>0</v>
      </c>
      <c r="ER200">
        <v>1134331.6299999999</v>
      </c>
      <c r="ES200">
        <v>1134331.6299999999</v>
      </c>
      <c r="ET200">
        <v>0</v>
      </c>
      <c r="EU200">
        <v>0</v>
      </c>
      <c r="EV200">
        <v>0</v>
      </c>
      <c r="EW200">
        <v>0</v>
      </c>
      <c r="EX200">
        <v>0</v>
      </c>
      <c r="EY200">
        <v>0</v>
      </c>
      <c r="EZ200">
        <v>5</v>
      </c>
      <c r="FC200">
        <v>1</v>
      </c>
      <c r="FD200">
        <v>18</v>
      </c>
      <c r="FF200">
        <v>1361197.95</v>
      </c>
      <c r="FQ200">
        <v>0</v>
      </c>
      <c r="FR200">
        <v>0</v>
      </c>
      <c r="FS200">
        <v>0</v>
      </c>
      <c r="FX200">
        <v>0</v>
      </c>
      <c r="FY200">
        <v>0</v>
      </c>
      <c r="GA200" t="s">
        <v>260</v>
      </c>
      <c r="GD200">
        <v>0</v>
      </c>
      <c r="GF200">
        <v>-1668232077</v>
      </c>
      <c r="GG200">
        <v>2</v>
      </c>
      <c r="GH200">
        <v>3</v>
      </c>
      <c r="GI200">
        <v>-2</v>
      </c>
      <c r="GJ200">
        <v>0</v>
      </c>
      <c r="GK200">
        <f>ROUND(R200*(R12)/100,2)</f>
        <v>0</v>
      </c>
      <c r="GL200">
        <f t="shared" si="153"/>
        <v>0</v>
      </c>
      <c r="GM200">
        <f t="shared" si="154"/>
        <v>1134331.6299999999</v>
      </c>
      <c r="GN200">
        <f t="shared" si="155"/>
        <v>1134331.6299999999</v>
      </c>
      <c r="GO200">
        <f t="shared" si="156"/>
        <v>0</v>
      </c>
      <c r="GP200">
        <f t="shared" si="157"/>
        <v>0</v>
      </c>
      <c r="GR200">
        <v>1</v>
      </c>
      <c r="GS200">
        <v>1</v>
      </c>
      <c r="GT200">
        <v>0</v>
      </c>
      <c r="GU200" t="s">
        <v>3</v>
      </c>
      <c r="GV200">
        <f t="shared" si="158"/>
        <v>0</v>
      </c>
      <c r="GW200">
        <v>1</v>
      </c>
      <c r="GX200">
        <f t="shared" si="159"/>
        <v>0</v>
      </c>
      <c r="HA200">
        <v>0</v>
      </c>
      <c r="HB200">
        <v>0</v>
      </c>
      <c r="HC200">
        <f t="shared" si="160"/>
        <v>0</v>
      </c>
      <c r="HE200" t="s">
        <v>27</v>
      </c>
      <c r="HF200" t="s">
        <v>27</v>
      </c>
      <c r="HM200" t="s">
        <v>3</v>
      </c>
      <c r="HN200" t="s">
        <v>3</v>
      </c>
      <c r="HO200" t="s">
        <v>3</v>
      </c>
      <c r="HP200" t="s">
        <v>3</v>
      </c>
      <c r="HQ200" t="s">
        <v>3</v>
      </c>
      <c r="HS200">
        <v>0</v>
      </c>
      <c r="IK200">
        <v>0</v>
      </c>
    </row>
    <row r="202" spans="1:245" x14ac:dyDescent="0.2">
      <c r="A202" s="2">
        <v>51</v>
      </c>
      <c r="B202" s="2">
        <f>B189</f>
        <v>1</v>
      </c>
      <c r="C202" s="2">
        <f>A189</f>
        <v>4</v>
      </c>
      <c r="D202" s="2">
        <f>ROW(A189)</f>
        <v>189</v>
      </c>
      <c r="E202" s="2"/>
      <c r="F202" s="2" t="str">
        <f>IF(F189&lt;&gt;"",F189,"")</f>
        <v>Новый раздел</v>
      </c>
      <c r="G202" s="2" t="str">
        <f>IF(G189&lt;&gt;"",G189,"")</f>
        <v>Входная группа</v>
      </c>
      <c r="H202" s="2">
        <v>0</v>
      </c>
      <c r="I202" s="2"/>
      <c r="J202" s="2"/>
      <c r="K202" s="2"/>
      <c r="L202" s="2"/>
      <c r="M202" s="2"/>
      <c r="N202" s="2"/>
      <c r="O202" s="2">
        <f t="shared" ref="O202:T202" si="161">ROUND(AB202,2)</f>
        <v>12079031.1</v>
      </c>
      <c r="P202" s="2">
        <f t="shared" si="161"/>
        <v>12079031.1</v>
      </c>
      <c r="Q202" s="2">
        <f t="shared" si="161"/>
        <v>0</v>
      </c>
      <c r="R202" s="2">
        <f t="shared" si="161"/>
        <v>0</v>
      </c>
      <c r="S202" s="2">
        <f t="shared" si="161"/>
        <v>0</v>
      </c>
      <c r="T202" s="2">
        <f t="shared" si="161"/>
        <v>0</v>
      </c>
      <c r="U202" s="2">
        <f>AH202</f>
        <v>0</v>
      </c>
      <c r="V202" s="2">
        <f>AI202</f>
        <v>0</v>
      </c>
      <c r="W202" s="2">
        <f>ROUND(AJ202,2)</f>
        <v>0</v>
      </c>
      <c r="X202" s="2">
        <f>ROUND(AK202,2)</f>
        <v>0</v>
      </c>
      <c r="Y202" s="2">
        <f>ROUND(AL202,2)</f>
        <v>0</v>
      </c>
      <c r="Z202" s="2"/>
      <c r="AA202" s="2"/>
      <c r="AB202" s="2">
        <f>ROUND(SUMIF(AA193:AA200,"=81141517",O193:O200),2)</f>
        <v>12079031.1</v>
      </c>
      <c r="AC202" s="2">
        <f>ROUND(SUMIF(AA193:AA200,"=81141517",P193:P200),2)</f>
        <v>12079031.1</v>
      </c>
      <c r="AD202" s="2">
        <f>ROUND(SUMIF(AA193:AA200,"=81141517",Q193:Q200),2)</f>
        <v>0</v>
      </c>
      <c r="AE202" s="2">
        <f>ROUND(SUMIF(AA193:AA200,"=81141517",R193:R200),2)</f>
        <v>0</v>
      </c>
      <c r="AF202" s="2">
        <f>ROUND(SUMIF(AA193:AA200,"=81141517",S193:S200),2)</f>
        <v>0</v>
      </c>
      <c r="AG202" s="2">
        <f>ROUND(SUMIF(AA193:AA200,"=81141517",T193:T200),2)</f>
        <v>0</v>
      </c>
      <c r="AH202" s="2">
        <f>SUMIF(AA193:AA200,"=81141517",U193:U200)</f>
        <v>0</v>
      </c>
      <c r="AI202" s="2">
        <f>SUMIF(AA193:AA200,"=81141517",V193:V200)</f>
        <v>0</v>
      </c>
      <c r="AJ202" s="2">
        <f>ROUND(SUMIF(AA193:AA200,"=81141517",W193:W200),2)</f>
        <v>0</v>
      </c>
      <c r="AK202" s="2">
        <f>ROUND(SUMIF(AA193:AA200,"=81141517",X193:X200),2)</f>
        <v>0</v>
      </c>
      <c r="AL202" s="2">
        <f>ROUND(SUMIF(AA193:AA200,"=81141517",Y193:Y200),2)</f>
        <v>0</v>
      </c>
      <c r="AM202" s="2"/>
      <c r="AN202" s="2"/>
      <c r="AO202" s="2">
        <f t="shared" ref="AO202:BD202" si="162">ROUND(BX202,2)</f>
        <v>0</v>
      </c>
      <c r="AP202" s="2">
        <f t="shared" si="162"/>
        <v>0</v>
      </c>
      <c r="AQ202" s="2">
        <f t="shared" si="162"/>
        <v>0</v>
      </c>
      <c r="AR202" s="2">
        <f t="shared" si="162"/>
        <v>12079031.1</v>
      </c>
      <c r="AS202" s="2">
        <f t="shared" si="162"/>
        <v>12079031.1</v>
      </c>
      <c r="AT202" s="2">
        <f t="shared" si="162"/>
        <v>0</v>
      </c>
      <c r="AU202" s="2">
        <f t="shared" si="162"/>
        <v>0</v>
      </c>
      <c r="AV202" s="2">
        <f t="shared" si="162"/>
        <v>12079031.1</v>
      </c>
      <c r="AW202" s="2">
        <f t="shared" si="162"/>
        <v>12079031.1</v>
      </c>
      <c r="AX202" s="2">
        <f t="shared" si="162"/>
        <v>0</v>
      </c>
      <c r="AY202" s="2">
        <f t="shared" si="162"/>
        <v>12079031.1</v>
      </c>
      <c r="AZ202" s="2">
        <f t="shared" si="162"/>
        <v>0</v>
      </c>
      <c r="BA202" s="2">
        <f t="shared" si="162"/>
        <v>0</v>
      </c>
      <c r="BB202" s="2">
        <f t="shared" si="162"/>
        <v>0</v>
      </c>
      <c r="BC202" s="2">
        <f t="shared" si="162"/>
        <v>0</v>
      </c>
      <c r="BD202" s="2">
        <f t="shared" si="162"/>
        <v>0</v>
      </c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>
        <f>ROUND(SUMIF(AA193:AA200,"=81141517",FQ193:FQ200),2)</f>
        <v>0</v>
      </c>
      <c r="BY202" s="2">
        <f>ROUND(SUMIF(AA193:AA200,"=81141517",FR193:FR200),2)</f>
        <v>0</v>
      </c>
      <c r="BZ202" s="2">
        <f>ROUND(SUMIF(AA193:AA200,"=81141517",GL193:GL200),2)</f>
        <v>0</v>
      </c>
      <c r="CA202" s="2">
        <f>ROUND(SUMIF(AA193:AA200,"=81141517",GM193:GM200),2)</f>
        <v>12079031.1</v>
      </c>
      <c r="CB202" s="2">
        <f>ROUND(SUMIF(AA193:AA200,"=81141517",GN193:GN200),2)</f>
        <v>12079031.1</v>
      </c>
      <c r="CC202" s="2">
        <f>ROUND(SUMIF(AA193:AA200,"=81141517",GO193:GO200),2)</f>
        <v>0</v>
      </c>
      <c r="CD202" s="2">
        <f>ROUND(SUMIF(AA193:AA200,"=81141517",GP193:GP200),2)</f>
        <v>0</v>
      </c>
      <c r="CE202" s="2">
        <f>AC202-BX202</f>
        <v>12079031.1</v>
      </c>
      <c r="CF202" s="2">
        <f>AC202-BY202</f>
        <v>12079031.1</v>
      </c>
      <c r="CG202" s="2">
        <f>BX202-BZ202</f>
        <v>0</v>
      </c>
      <c r="CH202" s="2">
        <f>AC202-BX202-BY202+BZ202</f>
        <v>12079031.1</v>
      </c>
      <c r="CI202" s="2">
        <f>BY202-BZ202</f>
        <v>0</v>
      </c>
      <c r="CJ202" s="2">
        <f>ROUND(SUMIF(AA193:AA200,"=81141517",GX193:GX200),2)</f>
        <v>0</v>
      </c>
      <c r="CK202" s="2">
        <f>ROUND(SUMIF(AA193:AA200,"=81141517",GY193:GY200),2)</f>
        <v>0</v>
      </c>
      <c r="CL202" s="2">
        <f>ROUND(SUMIF(AA193:AA200,"=81141517",GZ193:GZ200),2)</f>
        <v>0</v>
      </c>
      <c r="CM202" s="2">
        <f>ROUND(SUMIF(AA193:AA200,"=81141517",HD193:HD200),2)</f>
        <v>0</v>
      </c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3"/>
      <c r="DH202" s="3"/>
      <c r="DI202" s="3"/>
      <c r="DJ202" s="3"/>
      <c r="DK202" s="3"/>
      <c r="DL202" s="3"/>
      <c r="DM202" s="3"/>
      <c r="DN202" s="3"/>
      <c r="DO202" s="3"/>
      <c r="DP202" s="3"/>
      <c r="DQ202" s="3"/>
      <c r="DR202" s="3"/>
      <c r="DS202" s="3"/>
      <c r="DT202" s="3"/>
      <c r="DU202" s="3"/>
      <c r="DV202" s="3"/>
      <c r="DW202" s="3"/>
      <c r="DX202" s="3"/>
      <c r="DY202" s="3"/>
      <c r="DZ202" s="3"/>
      <c r="EA202" s="3"/>
      <c r="EB202" s="3"/>
      <c r="EC202" s="3"/>
      <c r="ED202" s="3"/>
      <c r="EE202" s="3"/>
      <c r="EF202" s="3"/>
      <c r="EG202" s="3"/>
      <c r="EH202" s="3"/>
      <c r="EI202" s="3"/>
      <c r="EJ202" s="3"/>
      <c r="EK202" s="3"/>
      <c r="EL202" s="3"/>
      <c r="EM202" s="3"/>
      <c r="EN202" s="3"/>
      <c r="EO202" s="3"/>
      <c r="EP202" s="3"/>
      <c r="EQ202" s="3"/>
      <c r="ER202" s="3"/>
      <c r="ES202" s="3"/>
      <c r="ET202" s="3"/>
      <c r="EU202" s="3"/>
      <c r="EV202" s="3"/>
      <c r="EW202" s="3"/>
      <c r="EX202" s="3"/>
      <c r="EY202" s="3"/>
      <c r="EZ202" s="3"/>
      <c r="FA202" s="3"/>
      <c r="FB202" s="3"/>
      <c r="FC202" s="3"/>
      <c r="FD202" s="3"/>
      <c r="FE202" s="3"/>
      <c r="FF202" s="3"/>
      <c r="FG202" s="3"/>
      <c r="FH202" s="3"/>
      <c r="FI202" s="3"/>
      <c r="FJ202" s="3"/>
      <c r="FK202" s="3"/>
      <c r="FL202" s="3"/>
      <c r="FM202" s="3"/>
      <c r="FN202" s="3"/>
      <c r="FO202" s="3"/>
      <c r="FP202" s="3"/>
      <c r="FQ202" s="3"/>
      <c r="FR202" s="3"/>
      <c r="FS202" s="3"/>
      <c r="FT202" s="3"/>
      <c r="FU202" s="3"/>
      <c r="FV202" s="3"/>
      <c r="FW202" s="3"/>
      <c r="FX202" s="3"/>
      <c r="FY202" s="3"/>
      <c r="FZ202" s="3"/>
      <c r="GA202" s="3"/>
      <c r="GB202" s="3"/>
      <c r="GC202" s="3"/>
      <c r="GD202" s="3"/>
      <c r="GE202" s="3"/>
      <c r="GF202" s="3"/>
      <c r="GG202" s="3"/>
      <c r="GH202" s="3"/>
      <c r="GI202" s="3"/>
      <c r="GJ202" s="3"/>
      <c r="GK202" s="3"/>
      <c r="GL202" s="3"/>
      <c r="GM202" s="3"/>
      <c r="GN202" s="3"/>
      <c r="GO202" s="3"/>
      <c r="GP202" s="3"/>
      <c r="GQ202" s="3"/>
      <c r="GR202" s="3"/>
      <c r="GS202" s="3"/>
      <c r="GT202" s="3"/>
      <c r="GU202" s="3"/>
      <c r="GV202" s="3"/>
      <c r="GW202" s="3"/>
      <c r="GX202" s="3">
        <v>0</v>
      </c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201</v>
      </c>
      <c r="F204" s="4">
        <f>ROUND(Source!O202,O204)</f>
        <v>12079031.1</v>
      </c>
      <c r="G204" s="4" t="s">
        <v>185</v>
      </c>
      <c r="H204" s="4" t="s">
        <v>186</v>
      </c>
      <c r="I204" s="4"/>
      <c r="J204" s="4"/>
      <c r="K204" s="4">
        <v>201</v>
      </c>
      <c r="L204" s="4">
        <v>1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12079031.1</v>
      </c>
      <c r="X204" s="4">
        <v>1</v>
      </c>
      <c r="Y204" s="4">
        <v>12079031.1</v>
      </c>
      <c r="Z204" s="4"/>
      <c r="AA204" s="4"/>
      <c r="AB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202</v>
      </c>
      <c r="F205" s="4">
        <f>ROUND(Source!P202,O205)</f>
        <v>12079031.1</v>
      </c>
      <c r="G205" s="4" t="s">
        <v>187</v>
      </c>
      <c r="H205" s="4" t="s">
        <v>188</v>
      </c>
      <c r="I205" s="4"/>
      <c r="J205" s="4"/>
      <c r="K205" s="4">
        <v>202</v>
      </c>
      <c r="L205" s="4">
        <v>2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12079031.1</v>
      </c>
      <c r="X205" s="4">
        <v>1</v>
      </c>
      <c r="Y205" s="4">
        <v>12079031.1</v>
      </c>
      <c r="Z205" s="4"/>
      <c r="AA205" s="4"/>
      <c r="AB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222</v>
      </c>
      <c r="F206" s="4">
        <f>ROUND(Source!AO202,O206)</f>
        <v>0</v>
      </c>
      <c r="G206" s="4" t="s">
        <v>189</v>
      </c>
      <c r="H206" s="4" t="s">
        <v>190</v>
      </c>
      <c r="I206" s="4"/>
      <c r="J206" s="4"/>
      <c r="K206" s="4">
        <v>222</v>
      </c>
      <c r="L206" s="4">
        <v>3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225</v>
      </c>
      <c r="F207" s="4">
        <f>ROUND(Source!AV202,O207)</f>
        <v>12079031.1</v>
      </c>
      <c r="G207" s="4" t="s">
        <v>191</v>
      </c>
      <c r="H207" s="4" t="s">
        <v>192</v>
      </c>
      <c r="I207" s="4"/>
      <c r="J207" s="4"/>
      <c r="K207" s="4">
        <v>225</v>
      </c>
      <c r="L207" s="4">
        <v>4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12079031.1</v>
      </c>
      <c r="X207" s="4">
        <v>1</v>
      </c>
      <c r="Y207" s="4">
        <v>12079031.1</v>
      </c>
      <c r="Z207" s="4"/>
      <c r="AA207" s="4"/>
      <c r="AB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226</v>
      </c>
      <c r="F208" s="4">
        <f>ROUND(Source!AW202,O208)</f>
        <v>12079031.1</v>
      </c>
      <c r="G208" s="4" t="s">
        <v>193</v>
      </c>
      <c r="H208" s="4" t="s">
        <v>194</v>
      </c>
      <c r="I208" s="4"/>
      <c r="J208" s="4"/>
      <c r="K208" s="4">
        <v>226</v>
      </c>
      <c r="L208" s="4">
        <v>5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12079031.1</v>
      </c>
      <c r="X208" s="4">
        <v>1</v>
      </c>
      <c r="Y208" s="4">
        <v>12079031.1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227</v>
      </c>
      <c r="F209" s="4">
        <f>ROUND(Source!AX202,O209)</f>
        <v>0</v>
      </c>
      <c r="G209" s="4" t="s">
        <v>195</v>
      </c>
      <c r="H209" s="4" t="s">
        <v>196</v>
      </c>
      <c r="I209" s="4"/>
      <c r="J209" s="4"/>
      <c r="K209" s="4">
        <v>227</v>
      </c>
      <c r="L209" s="4">
        <v>6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228</v>
      </c>
      <c r="F210" s="4">
        <f>ROUND(Source!AY202,O210)</f>
        <v>12079031.1</v>
      </c>
      <c r="G210" s="4" t="s">
        <v>197</v>
      </c>
      <c r="H210" s="4" t="s">
        <v>198</v>
      </c>
      <c r="I210" s="4"/>
      <c r="J210" s="4"/>
      <c r="K210" s="4">
        <v>228</v>
      </c>
      <c r="L210" s="4">
        <v>7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12079031.1</v>
      </c>
      <c r="X210" s="4">
        <v>1</v>
      </c>
      <c r="Y210" s="4">
        <v>12079031.1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216</v>
      </c>
      <c r="F211" s="4">
        <f>ROUND(Source!AP202,O211)</f>
        <v>0</v>
      </c>
      <c r="G211" s="4" t="s">
        <v>199</v>
      </c>
      <c r="H211" s="4" t="s">
        <v>200</v>
      </c>
      <c r="I211" s="4"/>
      <c r="J211" s="4"/>
      <c r="K211" s="4">
        <v>216</v>
      </c>
      <c r="L211" s="4">
        <v>8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223</v>
      </c>
      <c r="F212" s="4">
        <f>ROUND(Source!AQ202,O212)</f>
        <v>0</v>
      </c>
      <c r="G212" s="4" t="s">
        <v>201</v>
      </c>
      <c r="H212" s="4" t="s">
        <v>202</v>
      </c>
      <c r="I212" s="4"/>
      <c r="J212" s="4"/>
      <c r="K212" s="4">
        <v>223</v>
      </c>
      <c r="L212" s="4">
        <v>9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229</v>
      </c>
      <c r="F213" s="4">
        <f>ROUND(Source!AZ202,O213)</f>
        <v>0</v>
      </c>
      <c r="G213" s="4" t="s">
        <v>203</v>
      </c>
      <c r="H213" s="4" t="s">
        <v>204</v>
      </c>
      <c r="I213" s="4"/>
      <c r="J213" s="4"/>
      <c r="K213" s="4">
        <v>229</v>
      </c>
      <c r="L213" s="4">
        <v>10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203</v>
      </c>
      <c r="F214" s="4">
        <f>ROUND(Source!Q202,O214)</f>
        <v>0</v>
      </c>
      <c r="G214" s="4" t="s">
        <v>205</v>
      </c>
      <c r="H214" s="4" t="s">
        <v>206</v>
      </c>
      <c r="I214" s="4"/>
      <c r="J214" s="4"/>
      <c r="K214" s="4">
        <v>203</v>
      </c>
      <c r="L214" s="4">
        <v>11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231</v>
      </c>
      <c r="F215" s="4">
        <f>ROUND(Source!BB202,O215)</f>
        <v>0</v>
      </c>
      <c r="G215" s="4" t="s">
        <v>207</v>
      </c>
      <c r="H215" s="4" t="s">
        <v>208</v>
      </c>
      <c r="I215" s="4"/>
      <c r="J215" s="4"/>
      <c r="K215" s="4">
        <v>231</v>
      </c>
      <c r="L215" s="4">
        <v>12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204</v>
      </c>
      <c r="F216" s="4">
        <f>ROUND(Source!R202,O216)</f>
        <v>0</v>
      </c>
      <c r="G216" s="4" t="s">
        <v>209</v>
      </c>
      <c r="H216" s="4" t="s">
        <v>210</v>
      </c>
      <c r="I216" s="4"/>
      <c r="J216" s="4"/>
      <c r="K216" s="4">
        <v>204</v>
      </c>
      <c r="L216" s="4">
        <v>13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205</v>
      </c>
      <c r="F217" s="4">
        <f>ROUND(Source!S202,O217)</f>
        <v>0</v>
      </c>
      <c r="G217" s="4" t="s">
        <v>211</v>
      </c>
      <c r="H217" s="4" t="s">
        <v>212</v>
      </c>
      <c r="I217" s="4"/>
      <c r="J217" s="4"/>
      <c r="K217" s="4">
        <v>205</v>
      </c>
      <c r="L217" s="4">
        <v>14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232</v>
      </c>
      <c r="F218" s="4">
        <f>ROUND(Source!BC202,O218)</f>
        <v>0</v>
      </c>
      <c r="G218" s="4" t="s">
        <v>213</v>
      </c>
      <c r="H218" s="4" t="s">
        <v>214</v>
      </c>
      <c r="I218" s="4"/>
      <c r="J218" s="4"/>
      <c r="K218" s="4">
        <v>232</v>
      </c>
      <c r="L218" s="4">
        <v>15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214</v>
      </c>
      <c r="F219" s="4">
        <f>ROUND(Source!AS202,O219)</f>
        <v>12079031.1</v>
      </c>
      <c r="G219" s="4" t="s">
        <v>215</v>
      </c>
      <c r="H219" s="4" t="s">
        <v>216</v>
      </c>
      <c r="I219" s="4"/>
      <c r="J219" s="4"/>
      <c r="K219" s="4">
        <v>214</v>
      </c>
      <c r="L219" s="4">
        <v>16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12079031.1</v>
      </c>
      <c r="X219" s="4">
        <v>1</v>
      </c>
      <c r="Y219" s="4">
        <v>12079031.1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215</v>
      </c>
      <c r="F220" s="4">
        <f>ROUND(Source!AT202,O220)</f>
        <v>0</v>
      </c>
      <c r="G220" s="4" t="s">
        <v>217</v>
      </c>
      <c r="H220" s="4" t="s">
        <v>218</v>
      </c>
      <c r="I220" s="4"/>
      <c r="J220" s="4"/>
      <c r="K220" s="4">
        <v>215</v>
      </c>
      <c r="L220" s="4">
        <v>17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217</v>
      </c>
      <c r="F221" s="4">
        <f>ROUND(Source!AU202,O221)</f>
        <v>0</v>
      </c>
      <c r="G221" s="4" t="s">
        <v>219</v>
      </c>
      <c r="H221" s="4" t="s">
        <v>220</v>
      </c>
      <c r="I221" s="4"/>
      <c r="J221" s="4"/>
      <c r="K221" s="4">
        <v>217</v>
      </c>
      <c r="L221" s="4">
        <v>18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230</v>
      </c>
      <c r="F222" s="4">
        <f>ROUND(Source!BA202,O222)</f>
        <v>0</v>
      </c>
      <c r="G222" s="4" t="s">
        <v>221</v>
      </c>
      <c r="H222" s="4" t="s">
        <v>222</v>
      </c>
      <c r="I222" s="4"/>
      <c r="J222" s="4"/>
      <c r="K222" s="4">
        <v>230</v>
      </c>
      <c r="L222" s="4">
        <v>19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206</v>
      </c>
      <c r="F223" s="4">
        <f>ROUND(Source!T202,O223)</f>
        <v>0</v>
      </c>
      <c r="G223" s="4" t="s">
        <v>223</v>
      </c>
      <c r="H223" s="4" t="s">
        <v>224</v>
      </c>
      <c r="I223" s="4"/>
      <c r="J223" s="4"/>
      <c r="K223" s="4">
        <v>206</v>
      </c>
      <c r="L223" s="4">
        <v>20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207</v>
      </c>
      <c r="F224" s="4">
        <f>Source!U202</f>
        <v>0</v>
      </c>
      <c r="G224" s="4" t="s">
        <v>225</v>
      </c>
      <c r="H224" s="4" t="s">
        <v>226</v>
      </c>
      <c r="I224" s="4"/>
      <c r="J224" s="4"/>
      <c r="K224" s="4">
        <v>207</v>
      </c>
      <c r="L224" s="4">
        <v>21</v>
      </c>
      <c r="M224" s="4">
        <v>3</v>
      </c>
      <c r="N224" s="4" t="s">
        <v>3</v>
      </c>
      <c r="O224" s="4">
        <v>-1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06" x14ac:dyDescent="0.2">
      <c r="A225" s="4">
        <v>50</v>
      </c>
      <c r="B225" s="4">
        <v>0</v>
      </c>
      <c r="C225" s="4">
        <v>0</v>
      </c>
      <c r="D225" s="4">
        <v>1</v>
      </c>
      <c r="E225" s="4">
        <v>208</v>
      </c>
      <c r="F225" s="4">
        <f>Source!V202</f>
        <v>0</v>
      </c>
      <c r="G225" s="4" t="s">
        <v>227</v>
      </c>
      <c r="H225" s="4" t="s">
        <v>228</v>
      </c>
      <c r="I225" s="4"/>
      <c r="J225" s="4"/>
      <c r="K225" s="4">
        <v>208</v>
      </c>
      <c r="L225" s="4">
        <v>22</v>
      </c>
      <c r="M225" s="4">
        <v>3</v>
      </c>
      <c r="N225" s="4" t="s">
        <v>3</v>
      </c>
      <c r="O225" s="4">
        <v>-1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06" x14ac:dyDescent="0.2">
      <c r="A226" s="4">
        <v>50</v>
      </c>
      <c r="B226" s="4">
        <v>0</v>
      </c>
      <c r="C226" s="4">
        <v>0</v>
      </c>
      <c r="D226" s="4">
        <v>1</v>
      </c>
      <c r="E226" s="4">
        <v>209</v>
      </c>
      <c r="F226" s="4">
        <f>ROUND(Source!W202,O226)</f>
        <v>0</v>
      </c>
      <c r="G226" s="4" t="s">
        <v>229</v>
      </c>
      <c r="H226" s="4" t="s">
        <v>230</v>
      </c>
      <c r="I226" s="4"/>
      <c r="J226" s="4"/>
      <c r="K226" s="4">
        <v>209</v>
      </c>
      <c r="L226" s="4">
        <v>23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06" x14ac:dyDescent="0.2">
      <c r="A227" s="4">
        <v>50</v>
      </c>
      <c r="B227" s="4">
        <v>0</v>
      </c>
      <c r="C227" s="4">
        <v>0</v>
      </c>
      <c r="D227" s="4">
        <v>1</v>
      </c>
      <c r="E227" s="4">
        <v>233</v>
      </c>
      <c r="F227" s="4">
        <f>ROUND(Source!BD202,O227)</f>
        <v>0</v>
      </c>
      <c r="G227" s="4" t="s">
        <v>231</v>
      </c>
      <c r="H227" s="4" t="s">
        <v>232</v>
      </c>
      <c r="I227" s="4"/>
      <c r="J227" s="4"/>
      <c r="K227" s="4">
        <v>233</v>
      </c>
      <c r="L227" s="4">
        <v>24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210</v>
      </c>
      <c r="F228" s="4">
        <f>ROUND(Source!X202,O228)</f>
        <v>0</v>
      </c>
      <c r="G228" s="4" t="s">
        <v>233</v>
      </c>
      <c r="H228" s="4" t="s">
        <v>234</v>
      </c>
      <c r="I228" s="4"/>
      <c r="J228" s="4"/>
      <c r="K228" s="4">
        <v>210</v>
      </c>
      <c r="L228" s="4">
        <v>25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211</v>
      </c>
      <c r="F229" s="4">
        <f>ROUND(Source!Y202,O229)</f>
        <v>0</v>
      </c>
      <c r="G229" s="4" t="s">
        <v>235</v>
      </c>
      <c r="H229" s="4" t="s">
        <v>236</v>
      </c>
      <c r="I229" s="4"/>
      <c r="J229" s="4"/>
      <c r="K229" s="4">
        <v>211</v>
      </c>
      <c r="L229" s="4">
        <v>26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224</v>
      </c>
      <c r="F230" s="4">
        <f>ROUND(Source!AR202,O230)</f>
        <v>12079031.1</v>
      </c>
      <c r="G230" s="4" t="s">
        <v>237</v>
      </c>
      <c r="H230" s="4" t="s">
        <v>238</v>
      </c>
      <c r="I230" s="4"/>
      <c r="J230" s="4"/>
      <c r="K230" s="4">
        <v>224</v>
      </c>
      <c r="L230" s="4">
        <v>27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12079031.1</v>
      </c>
      <c r="X230" s="4">
        <v>1</v>
      </c>
      <c r="Y230" s="4">
        <v>12079031.1</v>
      </c>
      <c r="Z230" s="4"/>
      <c r="AA230" s="4"/>
      <c r="AB230" s="4"/>
    </row>
    <row r="232" spans="1:206" x14ac:dyDescent="0.2">
      <c r="A232" s="2">
        <v>51</v>
      </c>
      <c r="B232" s="2">
        <f>B149</f>
        <v>1</v>
      </c>
      <c r="C232" s="2">
        <f>A149</f>
        <v>3</v>
      </c>
      <c r="D232" s="2">
        <f>ROW(A149)</f>
        <v>149</v>
      </c>
      <c r="E232" s="2"/>
      <c r="F232" s="2" t="str">
        <f>IF(F149&lt;&gt;"",F149,"")</f>
        <v>Новая локальная смета</v>
      </c>
      <c r="G232" s="2" t="str">
        <f>IF(G149&lt;&gt;"",G149,"")</f>
        <v>Декорационное оформление</v>
      </c>
      <c r="H232" s="2">
        <v>0</v>
      </c>
      <c r="I232" s="2"/>
      <c r="J232" s="2"/>
      <c r="K232" s="2"/>
      <c r="L232" s="2"/>
      <c r="M232" s="2"/>
      <c r="N232" s="2"/>
      <c r="O232" s="2">
        <f t="shared" ref="O232:T232" si="163">ROUND(O159+O202+AB232,2)</f>
        <v>14027181.33</v>
      </c>
      <c r="P232" s="2">
        <f t="shared" si="163"/>
        <v>14027181.33</v>
      </c>
      <c r="Q232" s="2">
        <f t="shared" si="163"/>
        <v>0</v>
      </c>
      <c r="R232" s="2">
        <f t="shared" si="163"/>
        <v>0</v>
      </c>
      <c r="S232" s="2">
        <f t="shared" si="163"/>
        <v>0</v>
      </c>
      <c r="T232" s="2">
        <f t="shared" si="163"/>
        <v>0</v>
      </c>
      <c r="U232" s="2">
        <f>U159+U202+AH232</f>
        <v>0</v>
      </c>
      <c r="V232" s="2">
        <f>V159+V202+AI232</f>
        <v>0</v>
      </c>
      <c r="W232" s="2">
        <f>ROUND(W159+W202+AJ232,2)</f>
        <v>0</v>
      </c>
      <c r="X232" s="2">
        <f>ROUND(X159+X202+AK232,2)</f>
        <v>0</v>
      </c>
      <c r="Y232" s="2">
        <f>ROUND(Y159+Y202+AL232,2)</f>
        <v>0</v>
      </c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>
        <f t="shared" ref="AO232:BD232" si="164">ROUND(AO159+AO202+BX232,2)</f>
        <v>0</v>
      </c>
      <c r="AP232" s="2">
        <f t="shared" si="164"/>
        <v>0</v>
      </c>
      <c r="AQ232" s="2">
        <f t="shared" si="164"/>
        <v>0</v>
      </c>
      <c r="AR232" s="2">
        <f t="shared" si="164"/>
        <v>14027181.33</v>
      </c>
      <c r="AS232" s="2">
        <f t="shared" si="164"/>
        <v>14027181.33</v>
      </c>
      <c r="AT232" s="2">
        <f t="shared" si="164"/>
        <v>0</v>
      </c>
      <c r="AU232" s="2">
        <f t="shared" si="164"/>
        <v>0</v>
      </c>
      <c r="AV232" s="2">
        <f t="shared" si="164"/>
        <v>14027181.33</v>
      </c>
      <c r="AW232" s="2">
        <f t="shared" si="164"/>
        <v>14027181.33</v>
      </c>
      <c r="AX232" s="2">
        <f t="shared" si="164"/>
        <v>0</v>
      </c>
      <c r="AY232" s="2">
        <f t="shared" si="164"/>
        <v>14027181.33</v>
      </c>
      <c r="AZ232" s="2">
        <f t="shared" si="164"/>
        <v>0</v>
      </c>
      <c r="BA232" s="2">
        <f t="shared" si="164"/>
        <v>0</v>
      </c>
      <c r="BB232" s="2">
        <f t="shared" si="164"/>
        <v>0</v>
      </c>
      <c r="BC232" s="2">
        <f t="shared" si="164"/>
        <v>0</v>
      </c>
      <c r="BD232" s="2">
        <f t="shared" si="164"/>
        <v>0</v>
      </c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3"/>
      <c r="DH232" s="3"/>
      <c r="DI232" s="3"/>
      <c r="DJ232" s="3"/>
      <c r="DK232" s="3"/>
      <c r="DL232" s="3"/>
      <c r="DM232" s="3"/>
      <c r="DN232" s="3"/>
      <c r="DO232" s="3"/>
      <c r="DP232" s="3"/>
      <c r="DQ232" s="3"/>
      <c r="DR232" s="3"/>
      <c r="DS232" s="3"/>
      <c r="DT232" s="3"/>
      <c r="DU232" s="3"/>
      <c r="DV232" s="3"/>
      <c r="DW232" s="3"/>
      <c r="DX232" s="3"/>
      <c r="DY232" s="3"/>
      <c r="DZ232" s="3"/>
      <c r="EA232" s="3"/>
      <c r="EB232" s="3"/>
      <c r="EC232" s="3"/>
      <c r="ED232" s="3"/>
      <c r="EE232" s="3"/>
      <c r="EF232" s="3"/>
      <c r="EG232" s="3"/>
      <c r="EH232" s="3"/>
      <c r="EI232" s="3"/>
      <c r="EJ232" s="3"/>
      <c r="EK232" s="3"/>
      <c r="EL232" s="3"/>
      <c r="EM232" s="3"/>
      <c r="EN232" s="3"/>
      <c r="EO232" s="3"/>
      <c r="EP232" s="3"/>
      <c r="EQ232" s="3"/>
      <c r="ER232" s="3"/>
      <c r="ES232" s="3"/>
      <c r="ET232" s="3"/>
      <c r="EU232" s="3"/>
      <c r="EV232" s="3"/>
      <c r="EW232" s="3"/>
      <c r="EX232" s="3"/>
      <c r="EY232" s="3"/>
      <c r="EZ232" s="3"/>
      <c r="FA232" s="3"/>
      <c r="FB232" s="3"/>
      <c r="FC232" s="3"/>
      <c r="FD232" s="3"/>
      <c r="FE232" s="3"/>
      <c r="FF232" s="3"/>
      <c r="FG232" s="3"/>
      <c r="FH232" s="3"/>
      <c r="FI232" s="3"/>
      <c r="FJ232" s="3"/>
      <c r="FK232" s="3"/>
      <c r="FL232" s="3"/>
      <c r="FM232" s="3"/>
      <c r="FN232" s="3"/>
      <c r="FO232" s="3"/>
      <c r="FP232" s="3"/>
      <c r="FQ232" s="3"/>
      <c r="FR232" s="3"/>
      <c r="FS232" s="3"/>
      <c r="FT232" s="3"/>
      <c r="FU232" s="3"/>
      <c r="FV232" s="3"/>
      <c r="FW232" s="3"/>
      <c r="FX232" s="3"/>
      <c r="FY232" s="3"/>
      <c r="FZ232" s="3"/>
      <c r="GA232" s="3"/>
      <c r="GB232" s="3"/>
      <c r="GC232" s="3"/>
      <c r="GD232" s="3"/>
      <c r="GE232" s="3"/>
      <c r="GF232" s="3"/>
      <c r="GG232" s="3"/>
      <c r="GH232" s="3"/>
      <c r="GI232" s="3"/>
      <c r="GJ232" s="3"/>
      <c r="GK232" s="3"/>
      <c r="GL232" s="3"/>
      <c r="GM232" s="3"/>
      <c r="GN232" s="3"/>
      <c r="GO232" s="3"/>
      <c r="GP232" s="3"/>
      <c r="GQ232" s="3"/>
      <c r="GR232" s="3"/>
      <c r="GS232" s="3"/>
      <c r="GT232" s="3"/>
      <c r="GU232" s="3"/>
      <c r="GV232" s="3"/>
      <c r="GW232" s="3"/>
      <c r="GX232" s="3">
        <v>0</v>
      </c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201</v>
      </c>
      <c r="F234" s="4">
        <f>ROUND(Source!O232,O234)</f>
        <v>14027181.33</v>
      </c>
      <c r="G234" s="4" t="s">
        <v>185</v>
      </c>
      <c r="H234" s="4" t="s">
        <v>186</v>
      </c>
      <c r="I234" s="4"/>
      <c r="J234" s="4"/>
      <c r="K234" s="4">
        <v>201</v>
      </c>
      <c r="L234" s="4">
        <v>1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14027181.33</v>
      </c>
      <c r="X234" s="4">
        <v>1</v>
      </c>
      <c r="Y234" s="4">
        <v>14027181.33</v>
      </c>
      <c r="Z234" s="4"/>
      <c r="AA234" s="4"/>
      <c r="AB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202</v>
      </c>
      <c r="F235" s="4">
        <f>ROUND(Source!P232,O235)</f>
        <v>14027181.33</v>
      </c>
      <c r="G235" s="4" t="s">
        <v>187</v>
      </c>
      <c r="H235" s="4" t="s">
        <v>188</v>
      </c>
      <c r="I235" s="4"/>
      <c r="J235" s="4"/>
      <c r="K235" s="4">
        <v>202</v>
      </c>
      <c r="L235" s="4">
        <v>2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14027181.33</v>
      </c>
      <c r="X235" s="4">
        <v>1</v>
      </c>
      <c r="Y235" s="4">
        <v>14027181.33</v>
      </c>
      <c r="Z235" s="4"/>
      <c r="AA235" s="4"/>
      <c r="AB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222</v>
      </c>
      <c r="F236" s="4">
        <f>ROUND(Source!AO232,O236)</f>
        <v>0</v>
      </c>
      <c r="G236" s="4" t="s">
        <v>189</v>
      </c>
      <c r="H236" s="4" t="s">
        <v>190</v>
      </c>
      <c r="I236" s="4"/>
      <c r="J236" s="4"/>
      <c r="K236" s="4">
        <v>222</v>
      </c>
      <c r="L236" s="4">
        <v>3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225</v>
      </c>
      <c r="F237" s="4">
        <f>ROUND(Source!AV232,O237)</f>
        <v>14027181.33</v>
      </c>
      <c r="G237" s="4" t="s">
        <v>191</v>
      </c>
      <c r="H237" s="4" t="s">
        <v>192</v>
      </c>
      <c r="I237" s="4"/>
      <c r="J237" s="4"/>
      <c r="K237" s="4">
        <v>225</v>
      </c>
      <c r="L237" s="4">
        <v>4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14027181.33</v>
      </c>
      <c r="X237" s="4">
        <v>1</v>
      </c>
      <c r="Y237" s="4">
        <v>14027181.33</v>
      </c>
      <c r="Z237" s="4"/>
      <c r="AA237" s="4"/>
      <c r="AB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226</v>
      </c>
      <c r="F238" s="4">
        <f>ROUND(Source!AW232,O238)</f>
        <v>14027181.33</v>
      </c>
      <c r="G238" s="4" t="s">
        <v>193</v>
      </c>
      <c r="H238" s="4" t="s">
        <v>194</v>
      </c>
      <c r="I238" s="4"/>
      <c r="J238" s="4"/>
      <c r="K238" s="4">
        <v>226</v>
      </c>
      <c r="L238" s="4">
        <v>5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14027181.33</v>
      </c>
      <c r="X238" s="4">
        <v>1</v>
      </c>
      <c r="Y238" s="4">
        <v>14027181.33</v>
      </c>
      <c r="Z238" s="4"/>
      <c r="AA238" s="4"/>
      <c r="AB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227</v>
      </c>
      <c r="F239" s="4">
        <f>ROUND(Source!AX232,O239)</f>
        <v>0</v>
      </c>
      <c r="G239" s="4" t="s">
        <v>195</v>
      </c>
      <c r="H239" s="4" t="s">
        <v>196</v>
      </c>
      <c r="I239" s="4"/>
      <c r="J239" s="4"/>
      <c r="K239" s="4">
        <v>227</v>
      </c>
      <c r="L239" s="4">
        <v>6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228</v>
      </c>
      <c r="F240" s="4">
        <f>ROUND(Source!AY232,O240)</f>
        <v>14027181.33</v>
      </c>
      <c r="G240" s="4" t="s">
        <v>197</v>
      </c>
      <c r="H240" s="4" t="s">
        <v>198</v>
      </c>
      <c r="I240" s="4"/>
      <c r="J240" s="4"/>
      <c r="K240" s="4">
        <v>228</v>
      </c>
      <c r="L240" s="4">
        <v>7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14027181.33</v>
      </c>
      <c r="X240" s="4">
        <v>1</v>
      </c>
      <c r="Y240" s="4">
        <v>14027181.33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216</v>
      </c>
      <c r="F241" s="4">
        <f>ROUND(Source!AP232,O241)</f>
        <v>0</v>
      </c>
      <c r="G241" s="4" t="s">
        <v>199</v>
      </c>
      <c r="H241" s="4" t="s">
        <v>200</v>
      </c>
      <c r="I241" s="4"/>
      <c r="J241" s="4"/>
      <c r="K241" s="4">
        <v>216</v>
      </c>
      <c r="L241" s="4">
        <v>8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223</v>
      </c>
      <c r="F242" s="4">
        <f>ROUND(Source!AQ232,O242)</f>
        <v>0</v>
      </c>
      <c r="G242" s="4" t="s">
        <v>201</v>
      </c>
      <c r="H242" s="4" t="s">
        <v>202</v>
      </c>
      <c r="I242" s="4"/>
      <c r="J242" s="4"/>
      <c r="K242" s="4">
        <v>223</v>
      </c>
      <c r="L242" s="4">
        <v>9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229</v>
      </c>
      <c r="F243" s="4">
        <f>ROUND(Source!AZ232,O243)</f>
        <v>0</v>
      </c>
      <c r="G243" s="4" t="s">
        <v>203</v>
      </c>
      <c r="H243" s="4" t="s">
        <v>204</v>
      </c>
      <c r="I243" s="4"/>
      <c r="J243" s="4"/>
      <c r="K243" s="4">
        <v>229</v>
      </c>
      <c r="L243" s="4">
        <v>10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203</v>
      </c>
      <c r="F244" s="4">
        <f>ROUND(Source!Q232,O244)</f>
        <v>0</v>
      </c>
      <c r="G244" s="4" t="s">
        <v>205</v>
      </c>
      <c r="H244" s="4" t="s">
        <v>206</v>
      </c>
      <c r="I244" s="4"/>
      <c r="J244" s="4"/>
      <c r="K244" s="4">
        <v>203</v>
      </c>
      <c r="L244" s="4">
        <v>11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231</v>
      </c>
      <c r="F245" s="4">
        <f>ROUND(Source!BB232,O245)</f>
        <v>0</v>
      </c>
      <c r="G245" s="4" t="s">
        <v>207</v>
      </c>
      <c r="H245" s="4" t="s">
        <v>208</v>
      </c>
      <c r="I245" s="4"/>
      <c r="J245" s="4"/>
      <c r="K245" s="4">
        <v>231</v>
      </c>
      <c r="L245" s="4">
        <v>12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204</v>
      </c>
      <c r="F246" s="4">
        <f>ROUND(Source!R232,O246)</f>
        <v>0</v>
      </c>
      <c r="G246" s="4" t="s">
        <v>209</v>
      </c>
      <c r="H246" s="4" t="s">
        <v>210</v>
      </c>
      <c r="I246" s="4"/>
      <c r="J246" s="4"/>
      <c r="K246" s="4">
        <v>204</v>
      </c>
      <c r="L246" s="4">
        <v>13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205</v>
      </c>
      <c r="F247" s="4">
        <f>ROUND(Source!S232,O247)</f>
        <v>0</v>
      </c>
      <c r="G247" s="4" t="s">
        <v>211</v>
      </c>
      <c r="H247" s="4" t="s">
        <v>212</v>
      </c>
      <c r="I247" s="4"/>
      <c r="J247" s="4"/>
      <c r="K247" s="4">
        <v>205</v>
      </c>
      <c r="L247" s="4">
        <v>14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232</v>
      </c>
      <c r="F248" s="4">
        <f>ROUND(Source!BC232,O248)</f>
        <v>0</v>
      </c>
      <c r="G248" s="4" t="s">
        <v>213</v>
      </c>
      <c r="H248" s="4" t="s">
        <v>214</v>
      </c>
      <c r="I248" s="4"/>
      <c r="J248" s="4"/>
      <c r="K248" s="4">
        <v>232</v>
      </c>
      <c r="L248" s="4">
        <v>15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214</v>
      </c>
      <c r="F249" s="4">
        <f>ROUND(Source!AS232,O249)</f>
        <v>14027181.33</v>
      </c>
      <c r="G249" s="4" t="s">
        <v>215</v>
      </c>
      <c r="H249" s="4" t="s">
        <v>216</v>
      </c>
      <c r="I249" s="4"/>
      <c r="J249" s="4"/>
      <c r="K249" s="4">
        <v>214</v>
      </c>
      <c r="L249" s="4">
        <v>16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14027181.33</v>
      </c>
      <c r="X249" s="4">
        <v>1</v>
      </c>
      <c r="Y249" s="4">
        <v>14027181.33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215</v>
      </c>
      <c r="F250" s="4">
        <f>ROUND(Source!AT232,O250)</f>
        <v>0</v>
      </c>
      <c r="G250" s="4" t="s">
        <v>217</v>
      </c>
      <c r="H250" s="4" t="s">
        <v>218</v>
      </c>
      <c r="I250" s="4"/>
      <c r="J250" s="4"/>
      <c r="K250" s="4">
        <v>215</v>
      </c>
      <c r="L250" s="4">
        <v>17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217</v>
      </c>
      <c r="F251" s="4">
        <f>ROUND(Source!AU232,O251)</f>
        <v>0</v>
      </c>
      <c r="G251" s="4" t="s">
        <v>219</v>
      </c>
      <c r="H251" s="4" t="s">
        <v>220</v>
      </c>
      <c r="I251" s="4"/>
      <c r="J251" s="4"/>
      <c r="K251" s="4">
        <v>217</v>
      </c>
      <c r="L251" s="4">
        <v>18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230</v>
      </c>
      <c r="F252" s="4">
        <f>ROUND(Source!BA232,O252)</f>
        <v>0</v>
      </c>
      <c r="G252" s="4" t="s">
        <v>221</v>
      </c>
      <c r="H252" s="4" t="s">
        <v>222</v>
      </c>
      <c r="I252" s="4"/>
      <c r="J252" s="4"/>
      <c r="K252" s="4">
        <v>230</v>
      </c>
      <c r="L252" s="4">
        <v>19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206</v>
      </c>
      <c r="F253" s="4">
        <f>ROUND(Source!T232,O253)</f>
        <v>0</v>
      </c>
      <c r="G253" s="4" t="s">
        <v>223</v>
      </c>
      <c r="H253" s="4" t="s">
        <v>224</v>
      </c>
      <c r="I253" s="4"/>
      <c r="J253" s="4"/>
      <c r="K253" s="4">
        <v>206</v>
      </c>
      <c r="L253" s="4">
        <v>20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207</v>
      </c>
      <c r="F254" s="4">
        <f>Source!U232</f>
        <v>0</v>
      </c>
      <c r="G254" s="4" t="s">
        <v>225</v>
      </c>
      <c r="H254" s="4" t="s">
        <v>226</v>
      </c>
      <c r="I254" s="4"/>
      <c r="J254" s="4"/>
      <c r="K254" s="4">
        <v>207</v>
      </c>
      <c r="L254" s="4">
        <v>21</v>
      </c>
      <c r="M254" s="4">
        <v>3</v>
      </c>
      <c r="N254" s="4" t="s">
        <v>3</v>
      </c>
      <c r="O254" s="4">
        <v>-1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208</v>
      </c>
      <c r="F255" s="4">
        <f>Source!V232</f>
        <v>0</v>
      </c>
      <c r="G255" s="4" t="s">
        <v>227</v>
      </c>
      <c r="H255" s="4" t="s">
        <v>228</v>
      </c>
      <c r="I255" s="4"/>
      <c r="J255" s="4"/>
      <c r="K255" s="4">
        <v>208</v>
      </c>
      <c r="L255" s="4">
        <v>22</v>
      </c>
      <c r="M255" s="4">
        <v>3</v>
      </c>
      <c r="N255" s="4" t="s">
        <v>3</v>
      </c>
      <c r="O255" s="4">
        <v>-1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209</v>
      </c>
      <c r="F256" s="4">
        <f>ROUND(Source!W232,O256)</f>
        <v>0</v>
      </c>
      <c r="G256" s="4" t="s">
        <v>229</v>
      </c>
      <c r="H256" s="4" t="s">
        <v>230</v>
      </c>
      <c r="I256" s="4"/>
      <c r="J256" s="4"/>
      <c r="K256" s="4">
        <v>209</v>
      </c>
      <c r="L256" s="4">
        <v>23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06" x14ac:dyDescent="0.2">
      <c r="A257" s="4">
        <v>50</v>
      </c>
      <c r="B257" s="4">
        <v>0</v>
      </c>
      <c r="C257" s="4">
        <v>0</v>
      </c>
      <c r="D257" s="4">
        <v>1</v>
      </c>
      <c r="E257" s="4">
        <v>233</v>
      </c>
      <c r="F257" s="4">
        <f>ROUND(Source!BD232,O257)</f>
        <v>0</v>
      </c>
      <c r="G257" s="4" t="s">
        <v>231</v>
      </c>
      <c r="H257" s="4" t="s">
        <v>232</v>
      </c>
      <c r="I257" s="4"/>
      <c r="J257" s="4"/>
      <c r="K257" s="4">
        <v>233</v>
      </c>
      <c r="L257" s="4">
        <v>24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06" x14ac:dyDescent="0.2">
      <c r="A258" s="4">
        <v>50</v>
      </c>
      <c r="B258" s="4">
        <v>0</v>
      </c>
      <c r="C258" s="4">
        <v>0</v>
      </c>
      <c r="D258" s="4">
        <v>1</v>
      </c>
      <c r="E258" s="4">
        <v>210</v>
      </c>
      <c r="F258" s="4">
        <f>ROUND(Source!X232,O258)</f>
        <v>0</v>
      </c>
      <c r="G258" s="4" t="s">
        <v>233</v>
      </c>
      <c r="H258" s="4" t="s">
        <v>234</v>
      </c>
      <c r="I258" s="4"/>
      <c r="J258" s="4"/>
      <c r="K258" s="4">
        <v>210</v>
      </c>
      <c r="L258" s="4">
        <v>25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06" x14ac:dyDescent="0.2">
      <c r="A259" s="4">
        <v>50</v>
      </c>
      <c r="B259" s="4">
        <v>0</v>
      </c>
      <c r="C259" s="4">
        <v>0</v>
      </c>
      <c r="D259" s="4">
        <v>1</v>
      </c>
      <c r="E259" s="4">
        <v>211</v>
      </c>
      <c r="F259" s="4">
        <f>ROUND(Source!Y232,O259)</f>
        <v>0</v>
      </c>
      <c r="G259" s="4" t="s">
        <v>235</v>
      </c>
      <c r="H259" s="4" t="s">
        <v>236</v>
      </c>
      <c r="I259" s="4"/>
      <c r="J259" s="4"/>
      <c r="K259" s="4">
        <v>211</v>
      </c>
      <c r="L259" s="4">
        <v>26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06" x14ac:dyDescent="0.2">
      <c r="A260" s="4">
        <v>50</v>
      </c>
      <c r="B260" s="4">
        <v>0</v>
      </c>
      <c r="C260" s="4">
        <v>0</v>
      </c>
      <c r="D260" s="4">
        <v>1</v>
      </c>
      <c r="E260" s="4">
        <v>224</v>
      </c>
      <c r="F260" s="4">
        <f>ROUND(Source!AR232,O260)</f>
        <v>14027181.33</v>
      </c>
      <c r="G260" s="4" t="s">
        <v>237</v>
      </c>
      <c r="H260" s="4" t="s">
        <v>238</v>
      </c>
      <c r="I260" s="4"/>
      <c r="J260" s="4"/>
      <c r="K260" s="4">
        <v>224</v>
      </c>
      <c r="L260" s="4">
        <v>27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14027181.33</v>
      </c>
      <c r="X260" s="4">
        <v>1</v>
      </c>
      <c r="Y260" s="4">
        <v>14027181.33</v>
      </c>
      <c r="Z260" s="4"/>
      <c r="AA260" s="4"/>
      <c r="AB260" s="4"/>
    </row>
    <row r="261" spans="1:206" x14ac:dyDescent="0.2">
      <c r="A261" s="4">
        <v>50</v>
      </c>
      <c r="B261" s="4">
        <v>1</v>
      </c>
      <c r="C261" s="4">
        <v>0</v>
      </c>
      <c r="D261" s="4">
        <v>2</v>
      </c>
      <c r="E261" s="4">
        <v>0</v>
      </c>
      <c r="F261" s="4">
        <f>ROUND(F260*0.2,O261)</f>
        <v>2805436.27</v>
      </c>
      <c r="G261" s="4" t="s">
        <v>3</v>
      </c>
      <c r="H261" s="4" t="s">
        <v>242</v>
      </c>
      <c r="I261" s="4"/>
      <c r="J261" s="4"/>
      <c r="K261" s="4">
        <v>212</v>
      </c>
      <c r="L261" s="4">
        <v>28</v>
      </c>
      <c r="M261" s="4">
        <v>0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2805436.27</v>
      </c>
      <c r="X261" s="4">
        <v>1</v>
      </c>
      <c r="Y261" s="4">
        <v>2805436.27</v>
      </c>
      <c r="Z261" s="4"/>
      <c r="AA261" s="4"/>
      <c r="AB261" s="4"/>
    </row>
    <row r="262" spans="1:206" x14ac:dyDescent="0.2">
      <c r="A262" s="4">
        <v>50</v>
      </c>
      <c r="B262" s="4">
        <v>1</v>
      </c>
      <c r="C262" s="4">
        <v>0</v>
      </c>
      <c r="D262" s="4">
        <v>2</v>
      </c>
      <c r="E262" s="4">
        <v>0</v>
      </c>
      <c r="F262" s="4">
        <f>ROUND(F260*1.2,O262)</f>
        <v>16832617.600000001</v>
      </c>
      <c r="G262" s="4" t="s">
        <v>3</v>
      </c>
      <c r="H262" s="4" t="s">
        <v>261</v>
      </c>
      <c r="I262" s="4"/>
      <c r="J262" s="4"/>
      <c r="K262" s="4">
        <v>212</v>
      </c>
      <c r="L262" s="4">
        <v>29</v>
      </c>
      <c r="M262" s="4">
        <v>0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16832617.600000001</v>
      </c>
      <c r="X262" s="4">
        <v>1</v>
      </c>
      <c r="Y262" s="4">
        <v>16832617.600000001</v>
      </c>
      <c r="Z262" s="4"/>
      <c r="AA262" s="4"/>
      <c r="AB262" s="4"/>
    </row>
    <row r="264" spans="1:206" x14ac:dyDescent="0.2">
      <c r="A264" s="2">
        <v>51</v>
      </c>
      <c r="B264" s="2">
        <f>B12</f>
        <v>300</v>
      </c>
      <c r="C264" s="2">
        <f>A12</f>
        <v>1</v>
      </c>
      <c r="D264" s="2">
        <f>ROW(A12)</f>
        <v>12</v>
      </c>
      <c r="E264" s="2"/>
      <c r="F264" s="2" t="str">
        <f>IF(F12&lt;&gt;"",F12,"")</f>
        <v>Новый объект</v>
      </c>
      <c r="G264" s="2" t="str">
        <f>IF(G12&lt;&gt;"",G12,"")</f>
        <v>Выполнение комплекса работ по изготовлению и монтажу декоративных элементов тюбинговой горки</v>
      </c>
      <c r="H264" s="2">
        <v>0</v>
      </c>
      <c r="I264" s="2"/>
      <c r="J264" s="2"/>
      <c r="K264" s="2"/>
      <c r="L264" s="2"/>
      <c r="M264" s="2"/>
      <c r="N264" s="2"/>
      <c r="O264" s="2">
        <f t="shared" ref="O264:T264" si="165">ROUND(O116+O232,2)</f>
        <v>21287297.41</v>
      </c>
      <c r="P264" s="2">
        <f t="shared" si="165"/>
        <v>20041093.579999998</v>
      </c>
      <c r="Q264" s="2">
        <f t="shared" si="165"/>
        <v>359742.61</v>
      </c>
      <c r="R264" s="2">
        <f t="shared" si="165"/>
        <v>174744.13</v>
      </c>
      <c r="S264" s="2">
        <f t="shared" si="165"/>
        <v>886461.22</v>
      </c>
      <c r="T264" s="2">
        <f t="shared" si="165"/>
        <v>0</v>
      </c>
      <c r="U264" s="2">
        <f>U116+U232</f>
        <v>1474.6689999999999</v>
      </c>
      <c r="V264" s="2">
        <f>V116+V232</f>
        <v>0</v>
      </c>
      <c r="W264" s="2">
        <f>ROUND(W116+W232,2)</f>
        <v>0</v>
      </c>
      <c r="X264" s="2">
        <f>ROUND(X116+X232,2)</f>
        <v>620522.86</v>
      </c>
      <c r="Y264" s="2">
        <f>ROUND(Y116+Y232,2)</f>
        <v>88646.12</v>
      </c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>
        <f t="shared" ref="AO264:BD264" si="166">ROUND(AO116+AO232,2)</f>
        <v>0</v>
      </c>
      <c r="AP264" s="2">
        <f t="shared" si="166"/>
        <v>0</v>
      </c>
      <c r="AQ264" s="2">
        <f t="shared" si="166"/>
        <v>0</v>
      </c>
      <c r="AR264" s="2">
        <f t="shared" si="166"/>
        <v>22185190.059999999</v>
      </c>
      <c r="AS264" s="2">
        <f t="shared" si="166"/>
        <v>14027181.33</v>
      </c>
      <c r="AT264" s="2">
        <f t="shared" si="166"/>
        <v>0</v>
      </c>
      <c r="AU264" s="2">
        <f t="shared" si="166"/>
        <v>8158008.7300000004</v>
      </c>
      <c r="AV264" s="2">
        <f t="shared" si="166"/>
        <v>20041093.579999998</v>
      </c>
      <c r="AW264" s="2">
        <f t="shared" si="166"/>
        <v>20041093.579999998</v>
      </c>
      <c r="AX264" s="2">
        <f t="shared" si="166"/>
        <v>0</v>
      </c>
      <c r="AY264" s="2">
        <f t="shared" si="166"/>
        <v>20041093.579999998</v>
      </c>
      <c r="AZ264" s="2">
        <f t="shared" si="166"/>
        <v>0</v>
      </c>
      <c r="BA264" s="2">
        <f t="shared" si="166"/>
        <v>0</v>
      </c>
      <c r="BB264" s="2">
        <f t="shared" si="166"/>
        <v>0</v>
      </c>
      <c r="BC264" s="2">
        <f t="shared" si="166"/>
        <v>0</v>
      </c>
      <c r="BD264" s="2">
        <f t="shared" si="166"/>
        <v>0</v>
      </c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3"/>
      <c r="DH264" s="3"/>
      <c r="DI264" s="3"/>
      <c r="DJ264" s="3"/>
      <c r="DK264" s="3"/>
      <c r="DL264" s="3"/>
      <c r="DM264" s="3"/>
      <c r="DN264" s="3"/>
      <c r="DO264" s="3"/>
      <c r="DP264" s="3"/>
      <c r="DQ264" s="3"/>
      <c r="DR264" s="3"/>
      <c r="DS264" s="3"/>
      <c r="DT264" s="3"/>
      <c r="DU264" s="3"/>
      <c r="DV264" s="3"/>
      <c r="DW264" s="3"/>
      <c r="DX264" s="3"/>
      <c r="DY264" s="3"/>
      <c r="DZ264" s="3"/>
      <c r="EA264" s="3"/>
      <c r="EB264" s="3"/>
      <c r="EC264" s="3"/>
      <c r="ED264" s="3"/>
      <c r="EE264" s="3"/>
      <c r="EF264" s="3"/>
      <c r="EG264" s="3"/>
      <c r="EH264" s="3"/>
      <c r="EI264" s="3"/>
      <c r="EJ264" s="3"/>
      <c r="EK264" s="3"/>
      <c r="EL264" s="3"/>
      <c r="EM264" s="3"/>
      <c r="EN264" s="3"/>
      <c r="EO264" s="3"/>
      <c r="EP264" s="3"/>
      <c r="EQ264" s="3"/>
      <c r="ER264" s="3"/>
      <c r="ES264" s="3"/>
      <c r="ET264" s="3"/>
      <c r="EU264" s="3"/>
      <c r="EV264" s="3"/>
      <c r="EW264" s="3"/>
      <c r="EX264" s="3"/>
      <c r="EY264" s="3"/>
      <c r="EZ264" s="3"/>
      <c r="FA264" s="3"/>
      <c r="FB264" s="3"/>
      <c r="FC264" s="3"/>
      <c r="FD264" s="3"/>
      <c r="FE264" s="3"/>
      <c r="FF264" s="3"/>
      <c r="FG264" s="3"/>
      <c r="FH264" s="3"/>
      <c r="FI264" s="3"/>
      <c r="FJ264" s="3"/>
      <c r="FK264" s="3"/>
      <c r="FL264" s="3"/>
      <c r="FM264" s="3"/>
      <c r="FN264" s="3"/>
      <c r="FO264" s="3"/>
      <c r="FP264" s="3"/>
      <c r="FQ264" s="3"/>
      <c r="FR264" s="3"/>
      <c r="FS264" s="3"/>
      <c r="FT264" s="3"/>
      <c r="FU264" s="3"/>
      <c r="FV264" s="3"/>
      <c r="FW264" s="3"/>
      <c r="FX264" s="3"/>
      <c r="FY264" s="3"/>
      <c r="FZ264" s="3"/>
      <c r="GA264" s="3"/>
      <c r="GB264" s="3"/>
      <c r="GC264" s="3"/>
      <c r="GD264" s="3"/>
      <c r="GE264" s="3"/>
      <c r="GF264" s="3"/>
      <c r="GG264" s="3"/>
      <c r="GH264" s="3"/>
      <c r="GI264" s="3"/>
      <c r="GJ264" s="3"/>
      <c r="GK264" s="3"/>
      <c r="GL264" s="3"/>
      <c r="GM264" s="3"/>
      <c r="GN264" s="3"/>
      <c r="GO264" s="3"/>
      <c r="GP264" s="3"/>
      <c r="GQ264" s="3"/>
      <c r="GR264" s="3"/>
      <c r="GS264" s="3"/>
      <c r="GT264" s="3"/>
      <c r="GU264" s="3"/>
      <c r="GV264" s="3"/>
      <c r="GW264" s="3"/>
      <c r="GX264" s="3">
        <v>0</v>
      </c>
    </row>
    <row r="266" spans="1:206" x14ac:dyDescent="0.2">
      <c r="A266" s="4">
        <v>50</v>
      </c>
      <c r="B266" s="4">
        <v>0</v>
      </c>
      <c r="C266" s="4">
        <v>0</v>
      </c>
      <c r="D266" s="4">
        <v>1</v>
      </c>
      <c r="E266" s="4">
        <v>201</v>
      </c>
      <c r="F266" s="4">
        <f>ROUND(Source!O264,O266)</f>
        <v>21287297.41</v>
      </c>
      <c r="G266" s="4" t="s">
        <v>185</v>
      </c>
      <c r="H266" s="4" t="s">
        <v>186</v>
      </c>
      <c r="I266" s="4"/>
      <c r="J266" s="4"/>
      <c r="K266" s="4">
        <v>201</v>
      </c>
      <c r="L266" s="4">
        <v>1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21287297.41</v>
      </c>
      <c r="X266" s="4">
        <v>1</v>
      </c>
      <c r="Y266" s="4">
        <v>21287297.41</v>
      </c>
      <c r="Z266" s="4"/>
      <c r="AA266" s="4"/>
      <c r="AB266" s="4"/>
    </row>
    <row r="267" spans="1:206" x14ac:dyDescent="0.2">
      <c r="A267" s="4">
        <v>50</v>
      </c>
      <c r="B267" s="4">
        <v>0</v>
      </c>
      <c r="C267" s="4">
        <v>0</v>
      </c>
      <c r="D267" s="4">
        <v>1</v>
      </c>
      <c r="E267" s="4">
        <v>202</v>
      </c>
      <c r="F267" s="4">
        <f>ROUND(Source!P264,O267)</f>
        <v>20041093.579999998</v>
      </c>
      <c r="G267" s="4" t="s">
        <v>187</v>
      </c>
      <c r="H267" s="4" t="s">
        <v>188</v>
      </c>
      <c r="I267" s="4"/>
      <c r="J267" s="4"/>
      <c r="K267" s="4">
        <v>202</v>
      </c>
      <c r="L267" s="4">
        <v>2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20041093.579999998</v>
      </c>
      <c r="X267" s="4">
        <v>1</v>
      </c>
      <c r="Y267" s="4">
        <v>20041093.579999998</v>
      </c>
      <c r="Z267" s="4"/>
      <c r="AA267" s="4"/>
      <c r="AB267" s="4"/>
    </row>
    <row r="268" spans="1:206" x14ac:dyDescent="0.2">
      <c r="A268" s="4">
        <v>50</v>
      </c>
      <c r="B268" s="4">
        <v>0</v>
      </c>
      <c r="C268" s="4">
        <v>0</v>
      </c>
      <c r="D268" s="4">
        <v>1</v>
      </c>
      <c r="E268" s="4">
        <v>222</v>
      </c>
      <c r="F268" s="4">
        <f>ROUND(Source!AO264,O268)</f>
        <v>0</v>
      </c>
      <c r="G268" s="4" t="s">
        <v>189</v>
      </c>
      <c r="H268" s="4" t="s">
        <v>190</v>
      </c>
      <c r="I268" s="4"/>
      <c r="J268" s="4"/>
      <c r="K268" s="4">
        <v>222</v>
      </c>
      <c r="L268" s="4">
        <v>3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</v>
      </c>
      <c r="X268" s="4">
        <v>1</v>
      </c>
      <c r="Y268" s="4">
        <v>0</v>
      </c>
      <c r="Z268" s="4"/>
      <c r="AA268" s="4"/>
      <c r="AB268" s="4"/>
    </row>
    <row r="269" spans="1:206" x14ac:dyDescent="0.2">
      <c r="A269" s="4">
        <v>50</v>
      </c>
      <c r="B269" s="4">
        <v>0</v>
      </c>
      <c r="C269" s="4">
        <v>0</v>
      </c>
      <c r="D269" s="4">
        <v>1</v>
      </c>
      <c r="E269" s="4">
        <v>225</v>
      </c>
      <c r="F269" s="4">
        <f>ROUND(Source!AV264,O269)</f>
        <v>20041093.579999998</v>
      </c>
      <c r="G269" s="4" t="s">
        <v>191</v>
      </c>
      <c r="H269" s="4" t="s">
        <v>192</v>
      </c>
      <c r="I269" s="4"/>
      <c r="J269" s="4"/>
      <c r="K269" s="4">
        <v>225</v>
      </c>
      <c r="L269" s="4">
        <v>4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20041093.579999998</v>
      </c>
      <c r="X269" s="4">
        <v>1</v>
      </c>
      <c r="Y269" s="4">
        <v>20041093.579999998</v>
      </c>
      <c r="Z269" s="4"/>
      <c r="AA269" s="4"/>
      <c r="AB269" s="4"/>
    </row>
    <row r="270" spans="1:206" x14ac:dyDescent="0.2">
      <c r="A270" s="4">
        <v>50</v>
      </c>
      <c r="B270" s="4">
        <v>0</v>
      </c>
      <c r="C270" s="4">
        <v>0</v>
      </c>
      <c r="D270" s="4">
        <v>1</v>
      </c>
      <c r="E270" s="4">
        <v>226</v>
      </c>
      <c r="F270" s="4">
        <f>ROUND(Source!AW264,O270)</f>
        <v>20041093.579999998</v>
      </c>
      <c r="G270" s="4" t="s">
        <v>193</v>
      </c>
      <c r="H270" s="4" t="s">
        <v>194</v>
      </c>
      <c r="I270" s="4"/>
      <c r="J270" s="4"/>
      <c r="K270" s="4">
        <v>226</v>
      </c>
      <c r="L270" s="4">
        <v>5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20041093.579999998</v>
      </c>
      <c r="X270" s="4">
        <v>1</v>
      </c>
      <c r="Y270" s="4">
        <v>20041093.579999998</v>
      </c>
      <c r="Z270" s="4"/>
      <c r="AA270" s="4"/>
      <c r="AB270" s="4"/>
    </row>
    <row r="271" spans="1:206" x14ac:dyDescent="0.2">
      <c r="A271" s="4">
        <v>50</v>
      </c>
      <c r="B271" s="4">
        <v>0</v>
      </c>
      <c r="C271" s="4">
        <v>0</v>
      </c>
      <c r="D271" s="4">
        <v>1</v>
      </c>
      <c r="E271" s="4">
        <v>227</v>
      </c>
      <c r="F271" s="4">
        <f>ROUND(Source!AX264,O271)</f>
        <v>0</v>
      </c>
      <c r="G271" s="4" t="s">
        <v>195</v>
      </c>
      <c r="H271" s="4" t="s">
        <v>196</v>
      </c>
      <c r="I271" s="4"/>
      <c r="J271" s="4"/>
      <c r="K271" s="4">
        <v>227</v>
      </c>
      <c r="L271" s="4">
        <v>6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0</v>
      </c>
      <c r="X271" s="4">
        <v>1</v>
      </c>
      <c r="Y271" s="4">
        <v>0</v>
      </c>
      <c r="Z271" s="4"/>
      <c r="AA271" s="4"/>
      <c r="AB271" s="4"/>
    </row>
    <row r="272" spans="1:206" x14ac:dyDescent="0.2">
      <c r="A272" s="4">
        <v>50</v>
      </c>
      <c r="B272" s="4">
        <v>0</v>
      </c>
      <c r="C272" s="4">
        <v>0</v>
      </c>
      <c r="D272" s="4">
        <v>1</v>
      </c>
      <c r="E272" s="4">
        <v>228</v>
      </c>
      <c r="F272" s="4">
        <f>ROUND(Source!AY264,O272)</f>
        <v>20041093.579999998</v>
      </c>
      <c r="G272" s="4" t="s">
        <v>197</v>
      </c>
      <c r="H272" s="4" t="s">
        <v>198</v>
      </c>
      <c r="I272" s="4"/>
      <c r="J272" s="4"/>
      <c r="K272" s="4">
        <v>228</v>
      </c>
      <c r="L272" s="4">
        <v>7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20041093.579999998</v>
      </c>
      <c r="X272" s="4">
        <v>1</v>
      </c>
      <c r="Y272" s="4">
        <v>20041093.579999998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216</v>
      </c>
      <c r="F273" s="4">
        <f>ROUND(Source!AP264,O273)</f>
        <v>0</v>
      </c>
      <c r="G273" s="4" t="s">
        <v>199</v>
      </c>
      <c r="H273" s="4" t="s">
        <v>200</v>
      </c>
      <c r="I273" s="4"/>
      <c r="J273" s="4"/>
      <c r="K273" s="4">
        <v>216</v>
      </c>
      <c r="L273" s="4">
        <v>8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223</v>
      </c>
      <c r="F274" s="4">
        <f>ROUND(Source!AQ264,O274)</f>
        <v>0</v>
      </c>
      <c r="G274" s="4" t="s">
        <v>201</v>
      </c>
      <c r="H274" s="4" t="s">
        <v>202</v>
      </c>
      <c r="I274" s="4"/>
      <c r="J274" s="4"/>
      <c r="K274" s="4">
        <v>223</v>
      </c>
      <c r="L274" s="4">
        <v>9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229</v>
      </c>
      <c r="F275" s="4">
        <f>ROUND(Source!AZ264,O275)</f>
        <v>0</v>
      </c>
      <c r="G275" s="4" t="s">
        <v>203</v>
      </c>
      <c r="H275" s="4" t="s">
        <v>204</v>
      </c>
      <c r="I275" s="4"/>
      <c r="J275" s="4"/>
      <c r="K275" s="4">
        <v>229</v>
      </c>
      <c r="L275" s="4">
        <v>10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203</v>
      </c>
      <c r="F276" s="4">
        <f>ROUND(Source!Q264,O276)</f>
        <v>359742.61</v>
      </c>
      <c r="G276" s="4" t="s">
        <v>205</v>
      </c>
      <c r="H276" s="4" t="s">
        <v>206</v>
      </c>
      <c r="I276" s="4"/>
      <c r="J276" s="4"/>
      <c r="K276" s="4">
        <v>203</v>
      </c>
      <c r="L276" s="4">
        <v>11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359742.61</v>
      </c>
      <c r="X276" s="4">
        <v>1</v>
      </c>
      <c r="Y276" s="4">
        <v>359742.61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231</v>
      </c>
      <c r="F277" s="4">
        <f>ROUND(Source!BB264,O277)</f>
        <v>0</v>
      </c>
      <c r="G277" s="4" t="s">
        <v>207</v>
      </c>
      <c r="H277" s="4" t="s">
        <v>208</v>
      </c>
      <c r="I277" s="4"/>
      <c r="J277" s="4"/>
      <c r="K277" s="4">
        <v>231</v>
      </c>
      <c r="L277" s="4">
        <v>12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204</v>
      </c>
      <c r="F278" s="4">
        <f>ROUND(Source!R264,O278)</f>
        <v>174744.13</v>
      </c>
      <c r="G278" s="4" t="s">
        <v>209</v>
      </c>
      <c r="H278" s="4" t="s">
        <v>210</v>
      </c>
      <c r="I278" s="4"/>
      <c r="J278" s="4"/>
      <c r="K278" s="4">
        <v>204</v>
      </c>
      <c r="L278" s="4">
        <v>13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174744.13</v>
      </c>
      <c r="X278" s="4">
        <v>1</v>
      </c>
      <c r="Y278" s="4">
        <v>174744.13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205</v>
      </c>
      <c r="F279" s="4">
        <f>ROUND(Source!S264,O279)</f>
        <v>886461.22</v>
      </c>
      <c r="G279" s="4" t="s">
        <v>211</v>
      </c>
      <c r="H279" s="4" t="s">
        <v>212</v>
      </c>
      <c r="I279" s="4"/>
      <c r="J279" s="4"/>
      <c r="K279" s="4">
        <v>205</v>
      </c>
      <c r="L279" s="4">
        <v>14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886461.22</v>
      </c>
      <c r="X279" s="4">
        <v>1</v>
      </c>
      <c r="Y279" s="4">
        <v>886461.22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232</v>
      </c>
      <c r="F280" s="4">
        <f>ROUND(Source!BC264,O280)</f>
        <v>0</v>
      </c>
      <c r="G280" s="4" t="s">
        <v>213</v>
      </c>
      <c r="H280" s="4" t="s">
        <v>214</v>
      </c>
      <c r="I280" s="4"/>
      <c r="J280" s="4"/>
      <c r="K280" s="4">
        <v>232</v>
      </c>
      <c r="L280" s="4">
        <v>15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214</v>
      </c>
      <c r="F281" s="4">
        <f>ROUND(Source!AS264,O281)</f>
        <v>14027181.33</v>
      </c>
      <c r="G281" s="4" t="s">
        <v>215</v>
      </c>
      <c r="H281" s="4" t="s">
        <v>216</v>
      </c>
      <c r="I281" s="4"/>
      <c r="J281" s="4"/>
      <c r="K281" s="4">
        <v>214</v>
      </c>
      <c r="L281" s="4">
        <v>16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14027181.33</v>
      </c>
      <c r="X281" s="4">
        <v>1</v>
      </c>
      <c r="Y281" s="4">
        <v>14027181.33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215</v>
      </c>
      <c r="F282" s="4">
        <f>ROUND(Source!AT264,O282)</f>
        <v>0</v>
      </c>
      <c r="G282" s="4" t="s">
        <v>217</v>
      </c>
      <c r="H282" s="4" t="s">
        <v>218</v>
      </c>
      <c r="I282" s="4"/>
      <c r="J282" s="4"/>
      <c r="K282" s="4">
        <v>215</v>
      </c>
      <c r="L282" s="4">
        <v>17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217</v>
      </c>
      <c r="F283" s="4">
        <f>ROUND(Source!AU264,O283)</f>
        <v>8158008.7300000004</v>
      </c>
      <c r="G283" s="4" t="s">
        <v>219</v>
      </c>
      <c r="H283" s="4" t="s">
        <v>220</v>
      </c>
      <c r="I283" s="4"/>
      <c r="J283" s="4"/>
      <c r="K283" s="4">
        <v>217</v>
      </c>
      <c r="L283" s="4">
        <v>18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8158008.7300000004</v>
      </c>
      <c r="X283" s="4">
        <v>1</v>
      </c>
      <c r="Y283" s="4">
        <v>8158008.7300000004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230</v>
      </c>
      <c r="F284" s="4">
        <f>ROUND(Source!BA264,O284)</f>
        <v>0</v>
      </c>
      <c r="G284" s="4" t="s">
        <v>221</v>
      </c>
      <c r="H284" s="4" t="s">
        <v>222</v>
      </c>
      <c r="I284" s="4"/>
      <c r="J284" s="4"/>
      <c r="K284" s="4">
        <v>230</v>
      </c>
      <c r="L284" s="4">
        <v>19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206</v>
      </c>
      <c r="F285" s="4">
        <f>ROUND(Source!T264,O285)</f>
        <v>0</v>
      </c>
      <c r="G285" s="4" t="s">
        <v>223</v>
      </c>
      <c r="H285" s="4" t="s">
        <v>224</v>
      </c>
      <c r="I285" s="4"/>
      <c r="J285" s="4"/>
      <c r="K285" s="4">
        <v>206</v>
      </c>
      <c r="L285" s="4">
        <v>20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207</v>
      </c>
      <c r="F286" s="4">
        <f>Source!U264</f>
        <v>1474.6689999999999</v>
      </c>
      <c r="G286" s="4" t="s">
        <v>225</v>
      </c>
      <c r="H286" s="4" t="s">
        <v>226</v>
      </c>
      <c r="I286" s="4"/>
      <c r="J286" s="4"/>
      <c r="K286" s="4">
        <v>207</v>
      </c>
      <c r="L286" s="4">
        <v>21</v>
      </c>
      <c r="M286" s="4">
        <v>3</v>
      </c>
      <c r="N286" s="4" t="s">
        <v>3</v>
      </c>
      <c r="O286" s="4">
        <v>-1</v>
      </c>
      <c r="P286" s="4"/>
      <c r="Q286" s="4"/>
      <c r="R286" s="4"/>
      <c r="S286" s="4"/>
      <c r="T286" s="4"/>
      <c r="U286" s="4"/>
      <c r="V286" s="4"/>
      <c r="W286" s="4">
        <v>1474.6689999999999</v>
      </c>
      <c r="X286" s="4">
        <v>1</v>
      </c>
      <c r="Y286" s="4">
        <v>1474.6689999999999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208</v>
      </c>
      <c r="F287" s="4">
        <f>Source!V264</f>
        <v>0</v>
      </c>
      <c r="G287" s="4" t="s">
        <v>227</v>
      </c>
      <c r="H287" s="4" t="s">
        <v>228</v>
      </c>
      <c r="I287" s="4"/>
      <c r="J287" s="4"/>
      <c r="K287" s="4">
        <v>208</v>
      </c>
      <c r="L287" s="4">
        <v>22</v>
      </c>
      <c r="M287" s="4">
        <v>3</v>
      </c>
      <c r="N287" s="4" t="s">
        <v>3</v>
      </c>
      <c r="O287" s="4">
        <v>-1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8" x14ac:dyDescent="0.2">
      <c r="A288" s="4">
        <v>50</v>
      </c>
      <c r="B288" s="4">
        <v>0</v>
      </c>
      <c r="C288" s="4">
        <v>0</v>
      </c>
      <c r="D288" s="4">
        <v>1</v>
      </c>
      <c r="E288" s="4">
        <v>209</v>
      </c>
      <c r="F288" s="4">
        <f>ROUND(Source!W264,O288)</f>
        <v>0</v>
      </c>
      <c r="G288" s="4" t="s">
        <v>229</v>
      </c>
      <c r="H288" s="4" t="s">
        <v>230</v>
      </c>
      <c r="I288" s="4"/>
      <c r="J288" s="4"/>
      <c r="K288" s="4">
        <v>209</v>
      </c>
      <c r="L288" s="4">
        <v>23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233</v>
      </c>
      <c r="F289" s="4">
        <f>ROUND(Source!BD264,O289)</f>
        <v>0</v>
      </c>
      <c r="G289" s="4" t="s">
        <v>231</v>
      </c>
      <c r="H289" s="4" t="s">
        <v>232</v>
      </c>
      <c r="I289" s="4"/>
      <c r="J289" s="4"/>
      <c r="K289" s="4">
        <v>233</v>
      </c>
      <c r="L289" s="4">
        <v>24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210</v>
      </c>
      <c r="F290" s="4">
        <f>ROUND(Source!X264,O290)</f>
        <v>620522.86</v>
      </c>
      <c r="G290" s="4" t="s">
        <v>233</v>
      </c>
      <c r="H290" s="4" t="s">
        <v>234</v>
      </c>
      <c r="I290" s="4"/>
      <c r="J290" s="4"/>
      <c r="K290" s="4">
        <v>210</v>
      </c>
      <c r="L290" s="4">
        <v>25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620522.86</v>
      </c>
      <c r="X290" s="4">
        <v>1</v>
      </c>
      <c r="Y290" s="4">
        <v>620522.86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211</v>
      </c>
      <c r="F291" s="4">
        <f>ROUND(Source!Y264,O291)</f>
        <v>88646.12</v>
      </c>
      <c r="G291" s="4" t="s">
        <v>235</v>
      </c>
      <c r="H291" s="4" t="s">
        <v>236</v>
      </c>
      <c r="I291" s="4"/>
      <c r="J291" s="4"/>
      <c r="K291" s="4">
        <v>211</v>
      </c>
      <c r="L291" s="4">
        <v>26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88646.12</v>
      </c>
      <c r="X291" s="4">
        <v>1</v>
      </c>
      <c r="Y291" s="4">
        <v>88646.12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224</v>
      </c>
      <c r="F292" s="4">
        <f>ROUND(Source!AR264,O292)</f>
        <v>22185190.059999999</v>
      </c>
      <c r="G292" s="4" t="s">
        <v>237</v>
      </c>
      <c r="H292" s="4" t="s">
        <v>238</v>
      </c>
      <c r="I292" s="4"/>
      <c r="J292" s="4"/>
      <c r="K292" s="4">
        <v>224</v>
      </c>
      <c r="L292" s="4">
        <v>27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22185190.059999999</v>
      </c>
      <c r="X292" s="4">
        <v>1</v>
      </c>
      <c r="Y292" s="4">
        <v>22185190.059999999</v>
      </c>
      <c r="Z292" s="4"/>
      <c r="AA292" s="4"/>
      <c r="AB292" s="4"/>
    </row>
    <row r="293" spans="1:28" x14ac:dyDescent="0.2">
      <c r="A293" s="4">
        <v>50</v>
      </c>
      <c r="B293" s="4">
        <v>1</v>
      </c>
      <c r="C293" s="4">
        <v>0</v>
      </c>
      <c r="D293" s="4">
        <v>2</v>
      </c>
      <c r="E293" s="4">
        <v>0</v>
      </c>
      <c r="F293" s="4">
        <f>ROUND(F292,O293)</f>
        <v>22185190.059999999</v>
      </c>
      <c r="G293" s="4" t="s">
        <v>239</v>
      </c>
      <c r="H293" s="4" t="s">
        <v>240</v>
      </c>
      <c r="I293" s="4"/>
      <c r="J293" s="4"/>
      <c r="K293" s="4">
        <v>212</v>
      </c>
      <c r="L293" s="4">
        <v>28</v>
      </c>
      <c r="M293" s="4">
        <v>0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22185190.059999999</v>
      </c>
      <c r="X293" s="4">
        <v>1</v>
      </c>
      <c r="Y293" s="4">
        <v>22185190.059999999</v>
      </c>
      <c r="Z293" s="4"/>
      <c r="AA293" s="4"/>
      <c r="AB293" s="4"/>
    </row>
    <row r="294" spans="1:28" x14ac:dyDescent="0.2">
      <c r="A294" s="4">
        <v>50</v>
      </c>
      <c r="B294" s="4">
        <v>1</v>
      </c>
      <c r="C294" s="4">
        <v>0</v>
      </c>
      <c r="D294" s="4">
        <v>2</v>
      </c>
      <c r="E294" s="4">
        <v>0</v>
      </c>
      <c r="F294" s="4">
        <f>ROUND(F293*0.2,O294)</f>
        <v>4437038.01</v>
      </c>
      <c r="G294" s="4" t="s">
        <v>241</v>
      </c>
      <c r="H294" s="4" t="s">
        <v>242</v>
      </c>
      <c r="I294" s="4"/>
      <c r="J294" s="4"/>
      <c r="K294" s="4">
        <v>212</v>
      </c>
      <c r="L294" s="4">
        <v>29</v>
      </c>
      <c r="M294" s="4">
        <v>0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4437038.01</v>
      </c>
      <c r="X294" s="4">
        <v>1</v>
      </c>
      <c r="Y294" s="4">
        <v>4437038.01</v>
      </c>
      <c r="Z294" s="4"/>
      <c r="AA294" s="4"/>
      <c r="AB294" s="4"/>
    </row>
    <row r="295" spans="1:28" x14ac:dyDescent="0.2">
      <c r="A295" s="4">
        <v>50</v>
      </c>
      <c r="B295" s="4">
        <v>1</v>
      </c>
      <c r="C295" s="4">
        <v>0</v>
      </c>
      <c r="D295" s="4">
        <v>2</v>
      </c>
      <c r="E295" s="4">
        <v>213</v>
      </c>
      <c r="F295" s="4">
        <f>ROUND(F293+F294,O295)</f>
        <v>26622228.07</v>
      </c>
      <c r="G295" s="4" t="s">
        <v>243</v>
      </c>
      <c r="H295" s="4" t="s">
        <v>237</v>
      </c>
      <c r="I295" s="4"/>
      <c r="J295" s="4"/>
      <c r="K295" s="4">
        <v>212</v>
      </c>
      <c r="L295" s="4">
        <v>30</v>
      </c>
      <c r="M295" s="4">
        <v>0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26622228.07</v>
      </c>
      <c r="X295" s="4">
        <v>1</v>
      </c>
      <c r="Y295" s="4">
        <v>26622228.07</v>
      </c>
      <c r="Z295" s="4"/>
      <c r="AA295" s="4"/>
      <c r="AB295" s="4"/>
    </row>
    <row r="298" spans="1:28" x14ac:dyDescent="0.2">
      <c r="A298">
        <v>-1</v>
      </c>
    </row>
    <row r="300" spans="1:28" x14ac:dyDescent="0.2">
      <c r="A300" s="3">
        <v>75</v>
      </c>
      <c r="B300" s="3" t="s">
        <v>262</v>
      </c>
      <c r="C300" s="3">
        <v>2025</v>
      </c>
      <c r="D300" s="3">
        <v>4</v>
      </c>
      <c r="E300" s="3">
        <v>0</v>
      </c>
      <c r="F300" s="3">
        <v>0</v>
      </c>
      <c r="G300" s="3">
        <v>0</v>
      </c>
      <c r="H300" s="3">
        <v>1</v>
      </c>
      <c r="I300" s="3">
        <v>0</v>
      </c>
      <c r="J300" s="3">
        <v>1</v>
      </c>
      <c r="K300" s="3">
        <v>78</v>
      </c>
      <c r="L300" s="3">
        <v>30</v>
      </c>
      <c r="M300" s="3">
        <v>0</v>
      </c>
      <c r="N300" s="3">
        <v>81141517</v>
      </c>
      <c r="O300" s="3">
        <v>1</v>
      </c>
    </row>
    <row r="304" spans="1:28" x14ac:dyDescent="0.2">
      <c r="A304">
        <v>65</v>
      </c>
      <c r="C304">
        <v>1</v>
      </c>
      <c r="D304">
        <v>0</v>
      </c>
      <c r="E304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86C6B-1B2F-4EDA-80D8-6CFBF20A4A6D}">
  <dimension ref="A1:EC5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263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x14ac:dyDescent="0.2">
      <c r="A12" s="1">
        <v>1</v>
      </c>
      <c r="B12" s="1">
        <v>55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81141517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1</v>
      </c>
      <c r="C16" s="5" t="s">
        <v>12</v>
      </c>
      <c r="D16" s="5" t="s">
        <v>12</v>
      </c>
      <c r="E16" s="6">
        <f>ROUND((Source!F133)/1000,2)</f>
        <v>0</v>
      </c>
      <c r="F16" s="6">
        <f>ROUND((Source!F134)/1000,2)</f>
        <v>0</v>
      </c>
      <c r="G16" s="6">
        <f>ROUND((Source!F125)/1000,2)</f>
        <v>0</v>
      </c>
      <c r="H16" s="6">
        <f>ROUND((Source!F135)/1000+(Source!F136)/1000,2)</f>
        <v>8158.01</v>
      </c>
      <c r="I16" s="6">
        <f>E16+F16+G16+H16</f>
        <v>8158.01</v>
      </c>
      <c r="J16" s="6">
        <f>ROUND((Source!F131+Source!F130)/1000,2)</f>
        <v>1061.21</v>
      </c>
      <c r="K16" s="6">
        <v>13274.03</v>
      </c>
      <c r="L16" s="6">
        <v>0</v>
      </c>
      <c r="M16" s="6">
        <v>0</v>
      </c>
      <c r="N16" s="6">
        <f>I16+L16+M16</f>
        <v>8158.01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7260116.0800000001</v>
      </c>
      <c r="AU16" s="6">
        <v>6013912.25</v>
      </c>
      <c r="AV16" s="6">
        <v>0</v>
      </c>
      <c r="AW16" s="6">
        <v>0</v>
      </c>
      <c r="AX16" s="6">
        <v>0</v>
      </c>
      <c r="AY16" s="6">
        <v>359742.61</v>
      </c>
      <c r="AZ16" s="6">
        <v>174744.13</v>
      </c>
      <c r="BA16" s="6">
        <v>886461.22</v>
      </c>
      <c r="BB16" s="6">
        <v>0</v>
      </c>
      <c r="BC16" s="6">
        <v>0</v>
      </c>
      <c r="BD16" s="6">
        <v>8158008.7300000004</v>
      </c>
      <c r="BE16" s="6">
        <v>0</v>
      </c>
      <c r="BF16" s="6">
        <v>1474.6689999999999</v>
      </c>
      <c r="BG16" s="6">
        <v>0</v>
      </c>
      <c r="BH16" s="6">
        <v>0</v>
      </c>
      <c r="BI16" s="6">
        <v>620522.86</v>
      </c>
      <c r="BJ16" s="6">
        <v>88646.12</v>
      </c>
      <c r="BK16" s="6">
        <v>8158008.7300000004</v>
      </c>
    </row>
    <row r="17" spans="1:63" x14ac:dyDescent="0.2">
      <c r="A17" s="5">
        <v>3</v>
      </c>
      <c r="B17" s="5">
        <v>2</v>
      </c>
      <c r="C17" s="5" t="s">
        <v>12</v>
      </c>
      <c r="D17" s="5" t="s">
        <v>244</v>
      </c>
      <c r="E17" s="6">
        <f>ROUND((Source!F249)/1000,2)</f>
        <v>14027.18</v>
      </c>
      <c r="F17" s="6">
        <f>ROUND((Source!F250)/1000,2)</f>
        <v>0</v>
      </c>
      <c r="G17" s="6">
        <f>ROUND((Source!F241)/1000,2)</f>
        <v>0</v>
      </c>
      <c r="H17" s="6">
        <f>ROUND((Source!F251)/1000+(Source!F252)/1000,2)</f>
        <v>0</v>
      </c>
      <c r="I17" s="6">
        <f>E17+F17+G17+H17</f>
        <v>14027.18</v>
      </c>
      <c r="J17" s="6">
        <f>ROUND((Source!F247+Source!F246)/1000,2)</f>
        <v>0</v>
      </c>
      <c r="K17" s="6">
        <v>28054.36</v>
      </c>
      <c r="L17" s="6">
        <v>0</v>
      </c>
      <c r="M17" s="6">
        <v>0</v>
      </c>
      <c r="N17" s="6">
        <f>I17+L17+M17</f>
        <v>14027.18</v>
      </c>
      <c r="AI17" s="5">
        <v>0</v>
      </c>
      <c r="AJ17" s="5">
        <v>0</v>
      </c>
      <c r="AK17" s="5" t="s">
        <v>3</v>
      </c>
      <c r="AL17" s="5" t="s">
        <v>3</v>
      </c>
      <c r="AM17" s="5" t="s">
        <v>3</v>
      </c>
      <c r="AN17" s="5">
        <v>0</v>
      </c>
      <c r="AO17" s="5" t="s">
        <v>3</v>
      </c>
      <c r="AP17" s="5" t="s">
        <v>3</v>
      </c>
      <c r="AT17" s="6">
        <v>14027181.33</v>
      </c>
      <c r="AU17" s="6">
        <v>14027181.33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14027181.33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14027181.33</v>
      </c>
    </row>
    <row r="19" spans="1:63" x14ac:dyDescent="0.2">
      <c r="A19">
        <v>51</v>
      </c>
      <c r="E19">
        <v>14027.18</v>
      </c>
      <c r="F19">
        <v>0</v>
      </c>
      <c r="G19">
        <v>0</v>
      </c>
      <c r="H19">
        <v>8158.01</v>
      </c>
      <c r="I19">
        <v>22185.19</v>
      </c>
      <c r="J19">
        <v>1061.21</v>
      </c>
      <c r="K19">
        <v>41328.39</v>
      </c>
      <c r="L19">
        <v>0</v>
      </c>
      <c r="M19">
        <v>0</v>
      </c>
      <c r="N19">
        <v>22185.19</v>
      </c>
    </row>
    <row r="21" spans="1:63" x14ac:dyDescent="0.2">
      <c r="A21" s="4">
        <v>50</v>
      </c>
      <c r="B21" s="4">
        <v>0</v>
      </c>
      <c r="C21" s="4">
        <v>0</v>
      </c>
      <c r="D21" s="4">
        <v>1</v>
      </c>
      <c r="E21" s="4">
        <v>201</v>
      </c>
      <c r="F21" s="4">
        <v>21287297.41</v>
      </c>
      <c r="G21" s="4" t="s">
        <v>185</v>
      </c>
      <c r="H21" s="4" t="s">
        <v>186</v>
      </c>
      <c r="I21" s="4"/>
      <c r="J21" s="4"/>
      <c r="K21" s="4">
        <v>201</v>
      </c>
      <c r="L21" s="4">
        <v>1</v>
      </c>
      <c r="M21" s="4">
        <v>3</v>
      </c>
      <c r="N21" s="4" t="s">
        <v>3</v>
      </c>
      <c r="O21" s="4">
        <v>2</v>
      </c>
      <c r="P21" s="4"/>
    </row>
    <row r="22" spans="1:63" x14ac:dyDescent="0.2">
      <c r="A22" s="4">
        <v>50</v>
      </c>
      <c r="B22" s="4">
        <v>0</v>
      </c>
      <c r="C22" s="4">
        <v>0</v>
      </c>
      <c r="D22" s="4">
        <v>1</v>
      </c>
      <c r="E22" s="4">
        <v>202</v>
      </c>
      <c r="F22" s="4">
        <v>20041093.579999998</v>
      </c>
      <c r="G22" s="4" t="s">
        <v>187</v>
      </c>
      <c r="H22" s="4" t="s">
        <v>188</v>
      </c>
      <c r="I22" s="4"/>
      <c r="J22" s="4"/>
      <c r="K22" s="4">
        <v>202</v>
      </c>
      <c r="L22" s="4">
        <v>2</v>
      </c>
      <c r="M22" s="4">
        <v>3</v>
      </c>
      <c r="N22" s="4" t="s">
        <v>3</v>
      </c>
      <c r="O22" s="4">
        <v>2</v>
      </c>
      <c r="P22" s="4"/>
    </row>
    <row r="23" spans="1:63" x14ac:dyDescent="0.2">
      <c r="A23" s="4">
        <v>50</v>
      </c>
      <c r="B23" s="4">
        <v>0</v>
      </c>
      <c r="C23" s="4">
        <v>0</v>
      </c>
      <c r="D23" s="4">
        <v>1</v>
      </c>
      <c r="E23" s="4">
        <v>222</v>
      </c>
      <c r="F23" s="4">
        <v>0</v>
      </c>
      <c r="G23" s="4" t="s">
        <v>189</v>
      </c>
      <c r="H23" s="4" t="s">
        <v>190</v>
      </c>
      <c r="I23" s="4"/>
      <c r="J23" s="4"/>
      <c r="K23" s="4">
        <v>222</v>
      </c>
      <c r="L23" s="4">
        <v>3</v>
      </c>
      <c r="M23" s="4">
        <v>3</v>
      </c>
      <c r="N23" s="4" t="s">
        <v>3</v>
      </c>
      <c r="O23" s="4">
        <v>2</v>
      </c>
      <c r="P23" s="4"/>
    </row>
    <row r="24" spans="1:63" x14ac:dyDescent="0.2">
      <c r="A24" s="4">
        <v>50</v>
      </c>
      <c r="B24" s="4">
        <v>0</v>
      </c>
      <c r="C24" s="4">
        <v>0</v>
      </c>
      <c r="D24" s="4">
        <v>1</v>
      </c>
      <c r="E24" s="4">
        <v>225</v>
      </c>
      <c r="F24" s="4">
        <v>20041093.579999998</v>
      </c>
      <c r="G24" s="4" t="s">
        <v>191</v>
      </c>
      <c r="H24" s="4" t="s">
        <v>192</v>
      </c>
      <c r="I24" s="4"/>
      <c r="J24" s="4"/>
      <c r="K24" s="4">
        <v>225</v>
      </c>
      <c r="L24" s="4">
        <v>4</v>
      </c>
      <c r="M24" s="4">
        <v>3</v>
      </c>
      <c r="N24" s="4" t="s">
        <v>3</v>
      </c>
      <c r="O24" s="4">
        <v>2</v>
      </c>
      <c r="P24" s="4"/>
    </row>
    <row r="25" spans="1:63" x14ac:dyDescent="0.2">
      <c r="A25" s="4">
        <v>50</v>
      </c>
      <c r="B25" s="4">
        <v>0</v>
      </c>
      <c r="C25" s="4">
        <v>0</v>
      </c>
      <c r="D25" s="4">
        <v>1</v>
      </c>
      <c r="E25" s="4">
        <v>226</v>
      </c>
      <c r="F25" s="4">
        <v>20041093.579999998</v>
      </c>
      <c r="G25" s="4" t="s">
        <v>193</v>
      </c>
      <c r="H25" s="4" t="s">
        <v>194</v>
      </c>
      <c r="I25" s="4"/>
      <c r="J25" s="4"/>
      <c r="K25" s="4">
        <v>226</v>
      </c>
      <c r="L25" s="4">
        <v>5</v>
      </c>
      <c r="M25" s="4">
        <v>3</v>
      </c>
      <c r="N25" s="4" t="s">
        <v>3</v>
      </c>
      <c r="O25" s="4">
        <v>2</v>
      </c>
      <c r="P25" s="4"/>
    </row>
    <row r="26" spans="1:63" x14ac:dyDescent="0.2">
      <c r="A26" s="4">
        <v>50</v>
      </c>
      <c r="B26" s="4">
        <v>0</v>
      </c>
      <c r="C26" s="4">
        <v>0</v>
      </c>
      <c r="D26" s="4">
        <v>1</v>
      </c>
      <c r="E26" s="4">
        <v>227</v>
      </c>
      <c r="F26" s="4">
        <v>0</v>
      </c>
      <c r="G26" s="4" t="s">
        <v>195</v>
      </c>
      <c r="H26" s="4" t="s">
        <v>196</v>
      </c>
      <c r="I26" s="4"/>
      <c r="J26" s="4"/>
      <c r="K26" s="4">
        <v>227</v>
      </c>
      <c r="L26" s="4">
        <v>6</v>
      </c>
      <c r="M26" s="4">
        <v>3</v>
      </c>
      <c r="N26" s="4" t="s">
        <v>3</v>
      </c>
      <c r="O26" s="4">
        <v>2</v>
      </c>
      <c r="P26" s="4"/>
    </row>
    <row r="27" spans="1:63" x14ac:dyDescent="0.2">
      <c r="A27" s="4">
        <v>50</v>
      </c>
      <c r="B27" s="4">
        <v>0</v>
      </c>
      <c r="C27" s="4">
        <v>0</v>
      </c>
      <c r="D27" s="4">
        <v>1</v>
      </c>
      <c r="E27" s="4">
        <v>228</v>
      </c>
      <c r="F27" s="4">
        <v>20041093.579999998</v>
      </c>
      <c r="G27" s="4" t="s">
        <v>197</v>
      </c>
      <c r="H27" s="4" t="s">
        <v>198</v>
      </c>
      <c r="I27" s="4"/>
      <c r="J27" s="4"/>
      <c r="K27" s="4">
        <v>228</v>
      </c>
      <c r="L27" s="4">
        <v>7</v>
      </c>
      <c r="M27" s="4">
        <v>3</v>
      </c>
      <c r="N27" s="4" t="s">
        <v>3</v>
      </c>
      <c r="O27" s="4">
        <v>2</v>
      </c>
      <c r="P27" s="4"/>
    </row>
    <row r="28" spans="1:63" x14ac:dyDescent="0.2">
      <c r="A28" s="4">
        <v>50</v>
      </c>
      <c r="B28" s="4">
        <v>0</v>
      </c>
      <c r="C28" s="4">
        <v>0</v>
      </c>
      <c r="D28" s="4">
        <v>1</v>
      </c>
      <c r="E28" s="4">
        <v>216</v>
      </c>
      <c r="F28" s="4">
        <v>0</v>
      </c>
      <c r="G28" s="4" t="s">
        <v>199</v>
      </c>
      <c r="H28" s="4" t="s">
        <v>200</v>
      </c>
      <c r="I28" s="4"/>
      <c r="J28" s="4"/>
      <c r="K28" s="4">
        <v>216</v>
      </c>
      <c r="L28" s="4">
        <v>8</v>
      </c>
      <c r="M28" s="4">
        <v>3</v>
      </c>
      <c r="N28" s="4" t="s">
        <v>3</v>
      </c>
      <c r="O28" s="4">
        <v>2</v>
      </c>
      <c r="P28" s="4"/>
    </row>
    <row r="29" spans="1:63" x14ac:dyDescent="0.2">
      <c r="A29" s="4">
        <v>50</v>
      </c>
      <c r="B29" s="4">
        <v>0</v>
      </c>
      <c r="C29" s="4">
        <v>0</v>
      </c>
      <c r="D29" s="4">
        <v>1</v>
      </c>
      <c r="E29" s="4">
        <v>223</v>
      </c>
      <c r="F29" s="4">
        <v>0</v>
      </c>
      <c r="G29" s="4" t="s">
        <v>201</v>
      </c>
      <c r="H29" s="4" t="s">
        <v>202</v>
      </c>
      <c r="I29" s="4"/>
      <c r="J29" s="4"/>
      <c r="K29" s="4">
        <v>223</v>
      </c>
      <c r="L29" s="4">
        <v>9</v>
      </c>
      <c r="M29" s="4">
        <v>3</v>
      </c>
      <c r="N29" s="4" t="s">
        <v>3</v>
      </c>
      <c r="O29" s="4">
        <v>2</v>
      </c>
      <c r="P29" s="4"/>
    </row>
    <row r="30" spans="1:63" x14ac:dyDescent="0.2">
      <c r="A30" s="4">
        <v>50</v>
      </c>
      <c r="B30" s="4">
        <v>0</v>
      </c>
      <c r="C30" s="4">
        <v>0</v>
      </c>
      <c r="D30" s="4">
        <v>1</v>
      </c>
      <c r="E30" s="4">
        <v>229</v>
      </c>
      <c r="F30" s="4">
        <v>0</v>
      </c>
      <c r="G30" s="4" t="s">
        <v>203</v>
      </c>
      <c r="H30" s="4" t="s">
        <v>204</v>
      </c>
      <c r="I30" s="4"/>
      <c r="J30" s="4"/>
      <c r="K30" s="4">
        <v>229</v>
      </c>
      <c r="L30" s="4">
        <v>10</v>
      </c>
      <c r="M30" s="4">
        <v>3</v>
      </c>
      <c r="N30" s="4" t="s">
        <v>3</v>
      </c>
      <c r="O30" s="4">
        <v>2</v>
      </c>
      <c r="P30" s="4"/>
    </row>
    <row r="31" spans="1:63" x14ac:dyDescent="0.2">
      <c r="A31" s="4">
        <v>50</v>
      </c>
      <c r="B31" s="4">
        <v>0</v>
      </c>
      <c r="C31" s="4">
        <v>0</v>
      </c>
      <c r="D31" s="4">
        <v>1</v>
      </c>
      <c r="E31" s="4">
        <v>203</v>
      </c>
      <c r="F31" s="4">
        <v>359742.61</v>
      </c>
      <c r="G31" s="4" t="s">
        <v>205</v>
      </c>
      <c r="H31" s="4" t="s">
        <v>206</v>
      </c>
      <c r="I31" s="4"/>
      <c r="J31" s="4"/>
      <c r="K31" s="4">
        <v>203</v>
      </c>
      <c r="L31" s="4">
        <v>11</v>
      </c>
      <c r="M31" s="4">
        <v>3</v>
      </c>
      <c r="N31" s="4" t="s">
        <v>3</v>
      </c>
      <c r="O31" s="4">
        <v>2</v>
      </c>
      <c r="P31" s="4"/>
    </row>
    <row r="32" spans="1:63" x14ac:dyDescent="0.2">
      <c r="A32" s="4">
        <v>50</v>
      </c>
      <c r="B32" s="4">
        <v>0</v>
      </c>
      <c r="C32" s="4">
        <v>0</v>
      </c>
      <c r="D32" s="4">
        <v>1</v>
      </c>
      <c r="E32" s="4">
        <v>231</v>
      </c>
      <c r="F32" s="4">
        <v>0</v>
      </c>
      <c r="G32" s="4" t="s">
        <v>207</v>
      </c>
      <c r="H32" s="4" t="s">
        <v>208</v>
      </c>
      <c r="I32" s="4"/>
      <c r="J32" s="4"/>
      <c r="K32" s="4">
        <v>231</v>
      </c>
      <c r="L32" s="4">
        <v>12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204</v>
      </c>
      <c r="F33" s="4">
        <v>174744.13</v>
      </c>
      <c r="G33" s="4" t="s">
        <v>209</v>
      </c>
      <c r="H33" s="4" t="s">
        <v>210</v>
      </c>
      <c r="I33" s="4"/>
      <c r="J33" s="4"/>
      <c r="K33" s="4">
        <v>204</v>
      </c>
      <c r="L33" s="4">
        <v>13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205</v>
      </c>
      <c r="F34" s="4">
        <v>886461.22</v>
      </c>
      <c r="G34" s="4" t="s">
        <v>211</v>
      </c>
      <c r="H34" s="4" t="s">
        <v>212</v>
      </c>
      <c r="I34" s="4"/>
      <c r="J34" s="4"/>
      <c r="K34" s="4">
        <v>205</v>
      </c>
      <c r="L34" s="4">
        <v>14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232</v>
      </c>
      <c r="F35" s="4">
        <v>0</v>
      </c>
      <c r="G35" s="4" t="s">
        <v>213</v>
      </c>
      <c r="H35" s="4" t="s">
        <v>214</v>
      </c>
      <c r="I35" s="4"/>
      <c r="J35" s="4"/>
      <c r="K35" s="4">
        <v>232</v>
      </c>
      <c r="L35" s="4">
        <v>15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214</v>
      </c>
      <c r="F36" s="4">
        <v>14027181.33</v>
      </c>
      <c r="G36" s="4" t="s">
        <v>215</v>
      </c>
      <c r="H36" s="4" t="s">
        <v>216</v>
      </c>
      <c r="I36" s="4"/>
      <c r="J36" s="4"/>
      <c r="K36" s="4">
        <v>214</v>
      </c>
      <c r="L36" s="4">
        <v>16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215</v>
      </c>
      <c r="F37" s="4">
        <v>0</v>
      </c>
      <c r="G37" s="4" t="s">
        <v>217</v>
      </c>
      <c r="H37" s="4" t="s">
        <v>218</v>
      </c>
      <c r="I37" s="4"/>
      <c r="J37" s="4"/>
      <c r="K37" s="4">
        <v>215</v>
      </c>
      <c r="L37" s="4">
        <v>17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217</v>
      </c>
      <c r="F38" s="4">
        <v>8158008.7300000004</v>
      </c>
      <c r="G38" s="4" t="s">
        <v>219</v>
      </c>
      <c r="H38" s="4" t="s">
        <v>220</v>
      </c>
      <c r="I38" s="4"/>
      <c r="J38" s="4"/>
      <c r="K38" s="4">
        <v>217</v>
      </c>
      <c r="L38" s="4">
        <v>18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230</v>
      </c>
      <c r="F39" s="4">
        <v>0</v>
      </c>
      <c r="G39" s="4" t="s">
        <v>221</v>
      </c>
      <c r="H39" s="4" t="s">
        <v>222</v>
      </c>
      <c r="I39" s="4"/>
      <c r="J39" s="4"/>
      <c r="K39" s="4">
        <v>230</v>
      </c>
      <c r="L39" s="4">
        <v>19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206</v>
      </c>
      <c r="F40" s="4">
        <v>0</v>
      </c>
      <c r="G40" s="4" t="s">
        <v>223</v>
      </c>
      <c r="H40" s="4" t="s">
        <v>224</v>
      </c>
      <c r="I40" s="4"/>
      <c r="J40" s="4"/>
      <c r="K40" s="4">
        <v>206</v>
      </c>
      <c r="L40" s="4">
        <v>20</v>
      </c>
      <c r="M40" s="4">
        <v>3</v>
      </c>
      <c r="N40" s="4" t="s">
        <v>3</v>
      </c>
      <c r="O40" s="4">
        <v>2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207</v>
      </c>
      <c r="F41" s="4">
        <v>1474.6689999999999</v>
      </c>
      <c r="G41" s="4" t="s">
        <v>225</v>
      </c>
      <c r="H41" s="4" t="s">
        <v>226</v>
      </c>
      <c r="I41" s="4"/>
      <c r="J41" s="4"/>
      <c r="K41" s="4">
        <v>207</v>
      </c>
      <c r="L41" s="4">
        <v>21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208</v>
      </c>
      <c r="F42" s="4">
        <v>0</v>
      </c>
      <c r="G42" s="4" t="s">
        <v>227</v>
      </c>
      <c r="H42" s="4" t="s">
        <v>228</v>
      </c>
      <c r="I42" s="4"/>
      <c r="J42" s="4"/>
      <c r="K42" s="4">
        <v>208</v>
      </c>
      <c r="L42" s="4">
        <v>22</v>
      </c>
      <c r="M42" s="4">
        <v>3</v>
      </c>
      <c r="N42" s="4" t="s">
        <v>3</v>
      </c>
      <c r="O42" s="4">
        <v>-1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209</v>
      </c>
      <c r="F43" s="4">
        <v>0</v>
      </c>
      <c r="G43" s="4" t="s">
        <v>229</v>
      </c>
      <c r="H43" s="4" t="s">
        <v>230</v>
      </c>
      <c r="I43" s="4"/>
      <c r="J43" s="4"/>
      <c r="K43" s="4">
        <v>209</v>
      </c>
      <c r="L43" s="4">
        <v>23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233</v>
      </c>
      <c r="F44" s="4">
        <v>0</v>
      </c>
      <c r="G44" s="4" t="s">
        <v>231</v>
      </c>
      <c r="H44" s="4" t="s">
        <v>232</v>
      </c>
      <c r="I44" s="4"/>
      <c r="J44" s="4"/>
      <c r="K44" s="4">
        <v>233</v>
      </c>
      <c r="L44" s="4">
        <v>24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210</v>
      </c>
      <c r="F45" s="4">
        <v>620522.86</v>
      </c>
      <c r="G45" s="4" t="s">
        <v>233</v>
      </c>
      <c r="H45" s="4" t="s">
        <v>234</v>
      </c>
      <c r="I45" s="4"/>
      <c r="J45" s="4"/>
      <c r="K45" s="4">
        <v>210</v>
      </c>
      <c r="L45" s="4">
        <v>25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211</v>
      </c>
      <c r="F46" s="4">
        <v>88646.12</v>
      </c>
      <c r="G46" s="4" t="s">
        <v>235</v>
      </c>
      <c r="H46" s="4" t="s">
        <v>236</v>
      </c>
      <c r="I46" s="4"/>
      <c r="J46" s="4"/>
      <c r="K46" s="4">
        <v>211</v>
      </c>
      <c r="L46" s="4">
        <v>26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0</v>
      </c>
      <c r="C47" s="4">
        <v>0</v>
      </c>
      <c r="D47" s="4">
        <v>1</v>
      </c>
      <c r="E47" s="4">
        <v>224</v>
      </c>
      <c r="F47" s="4">
        <v>22185190.059999999</v>
      </c>
      <c r="G47" s="4" t="s">
        <v>237</v>
      </c>
      <c r="H47" s="4" t="s">
        <v>238</v>
      </c>
      <c r="I47" s="4"/>
      <c r="J47" s="4"/>
      <c r="K47" s="4">
        <v>224</v>
      </c>
      <c r="L47" s="4">
        <v>27</v>
      </c>
      <c r="M47" s="4">
        <v>3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22185190.059999999</v>
      </c>
      <c r="G48" s="4" t="s">
        <v>239</v>
      </c>
      <c r="H48" s="4" t="s">
        <v>240</v>
      </c>
      <c r="I48" s="4"/>
      <c r="J48" s="4"/>
      <c r="K48" s="4">
        <v>212</v>
      </c>
      <c r="L48" s="4">
        <v>28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4437038.01</v>
      </c>
      <c r="G49" s="4" t="s">
        <v>241</v>
      </c>
      <c r="H49" s="4" t="s">
        <v>242</v>
      </c>
      <c r="I49" s="4"/>
      <c r="J49" s="4"/>
      <c r="K49" s="4">
        <v>212</v>
      </c>
      <c r="L49" s="4">
        <v>29</v>
      </c>
      <c r="M49" s="4">
        <v>0</v>
      </c>
      <c r="N49" s="4" t="s">
        <v>3</v>
      </c>
      <c r="O49" s="4">
        <v>2</v>
      </c>
      <c r="P49" s="4"/>
    </row>
    <row r="50" spans="1:16" x14ac:dyDescent="0.2">
      <c r="A50" s="4">
        <v>50</v>
      </c>
      <c r="B50" s="4">
        <v>1</v>
      </c>
      <c r="C50" s="4">
        <v>0</v>
      </c>
      <c r="D50" s="4">
        <v>2</v>
      </c>
      <c r="E50" s="4">
        <v>213</v>
      </c>
      <c r="F50" s="4">
        <v>26622228.07</v>
      </c>
      <c r="G50" s="4" t="s">
        <v>243</v>
      </c>
      <c r="H50" s="4" t="s">
        <v>237</v>
      </c>
      <c r="I50" s="4"/>
      <c r="J50" s="4"/>
      <c r="K50" s="4">
        <v>212</v>
      </c>
      <c r="L50" s="4">
        <v>30</v>
      </c>
      <c r="M50" s="4">
        <v>0</v>
      </c>
      <c r="N50" s="4" t="s">
        <v>3</v>
      </c>
      <c r="O50" s="4">
        <v>2</v>
      </c>
      <c r="P50" s="4"/>
    </row>
    <row r="52" spans="1:16" x14ac:dyDescent="0.2">
      <c r="A52">
        <v>-1</v>
      </c>
    </row>
    <row r="55" spans="1:16" x14ac:dyDescent="0.2">
      <c r="A55" s="3">
        <v>75</v>
      </c>
      <c r="B55" s="3" t="s">
        <v>262</v>
      </c>
      <c r="C55" s="3">
        <v>2025</v>
      </c>
      <c r="D55" s="3">
        <v>4</v>
      </c>
      <c r="E55" s="3">
        <v>0</v>
      </c>
      <c r="F55" s="3">
        <v>0</v>
      </c>
      <c r="G55" s="3">
        <v>0</v>
      </c>
      <c r="H55" s="3">
        <v>1</v>
      </c>
      <c r="I55" s="3">
        <v>0</v>
      </c>
      <c r="J55" s="3">
        <v>1</v>
      </c>
      <c r="K55" s="3">
        <v>78</v>
      </c>
      <c r="L55" s="3">
        <v>30</v>
      </c>
      <c r="M55" s="3">
        <v>0</v>
      </c>
      <c r="N55" s="3">
        <v>81141517</v>
      </c>
      <c r="O55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69AC-39AE-4CEE-8CB0-3DA1AAC032C8}">
  <dimension ref="A1:DO8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81141517</v>
      </c>
      <c r="C1">
        <v>81141588</v>
      </c>
      <c r="D1">
        <v>80199986</v>
      </c>
      <c r="E1">
        <v>15514512</v>
      </c>
      <c r="F1">
        <v>1</v>
      </c>
      <c r="G1">
        <v>15514512</v>
      </c>
      <c r="H1">
        <v>1</v>
      </c>
      <c r="I1" t="s">
        <v>264</v>
      </c>
      <c r="J1" t="s">
        <v>3</v>
      </c>
      <c r="K1" t="s">
        <v>265</v>
      </c>
      <c r="L1">
        <v>1191</v>
      </c>
      <c r="N1">
        <v>1013</v>
      </c>
      <c r="O1" t="s">
        <v>266</v>
      </c>
      <c r="P1" t="s">
        <v>266</v>
      </c>
      <c r="Q1">
        <v>1</v>
      </c>
      <c r="W1">
        <v>0</v>
      </c>
      <c r="X1">
        <v>476480486</v>
      </c>
      <c r="Y1">
        <f t="shared" ref="Y1:Y32" si="0">AT1</f>
        <v>2.37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2.37</v>
      </c>
      <c r="AU1" t="s">
        <v>3</v>
      </c>
      <c r="AV1">
        <v>1</v>
      </c>
      <c r="AW1">
        <v>2</v>
      </c>
      <c r="AX1">
        <v>81141589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7.11</v>
      </c>
      <c r="CW1">
        <v>0</v>
      </c>
      <c r="CX1">
        <f>ROUND(Y1*Source!I28,9)</f>
        <v>7.11</v>
      </c>
      <c r="CY1">
        <f>AD1</f>
        <v>0</v>
      </c>
      <c r="CZ1">
        <f>AH1</f>
        <v>0</v>
      </c>
      <c r="DA1">
        <f>AL1</f>
        <v>1</v>
      </c>
      <c r="DB1">
        <f t="shared" ref="DB1:DB32" si="1">ROUND(ROUND(AT1*CZ1,2),6)</f>
        <v>0</v>
      </c>
      <c r="DC1">
        <f t="shared" ref="DC1:DC32" si="2">ROUND(ROUND(AT1*AG1,2),6)</f>
        <v>0</v>
      </c>
      <c r="DD1" t="s">
        <v>3</v>
      </c>
      <c r="DE1" t="s">
        <v>3</v>
      </c>
      <c r="DF1">
        <f t="shared" ref="DF1:DF32" si="3">ROUND(ROUND(AE1,2)*CX1,2)</f>
        <v>0</v>
      </c>
      <c r="DG1">
        <f t="shared" ref="DG1:DG32" si="4">ROUND(ROUND(AF1,2)*CX1,2)</f>
        <v>0</v>
      </c>
      <c r="DH1">
        <f t="shared" ref="DH1:DH32" si="5">ROUND(ROUND(AG1,2)*CX1,2)</f>
        <v>0</v>
      </c>
      <c r="DI1">
        <f t="shared" ref="DI1:DI32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81141517</v>
      </c>
      <c r="C2">
        <v>81141588</v>
      </c>
      <c r="D2">
        <v>80213010</v>
      </c>
      <c r="E2">
        <v>1</v>
      </c>
      <c r="F2">
        <v>1</v>
      </c>
      <c r="G2">
        <v>15514512</v>
      </c>
      <c r="H2">
        <v>2</v>
      </c>
      <c r="I2" t="s">
        <v>267</v>
      </c>
      <c r="J2" t="s">
        <v>268</v>
      </c>
      <c r="K2" t="s">
        <v>269</v>
      </c>
      <c r="L2">
        <v>1368</v>
      </c>
      <c r="N2">
        <v>1011</v>
      </c>
      <c r="O2" t="s">
        <v>270</v>
      </c>
      <c r="P2" t="s">
        <v>270</v>
      </c>
      <c r="Q2">
        <v>1</v>
      </c>
      <c r="W2">
        <v>0</v>
      </c>
      <c r="X2">
        <v>-1120917231</v>
      </c>
      <c r="Y2">
        <f t="shared" si="0"/>
        <v>0.82</v>
      </c>
      <c r="AA2">
        <v>0</v>
      </c>
      <c r="AB2">
        <v>441.32</v>
      </c>
      <c r="AC2">
        <v>1.36</v>
      </c>
      <c r="AD2">
        <v>0</v>
      </c>
      <c r="AE2">
        <v>0</v>
      </c>
      <c r="AF2">
        <v>441.32</v>
      </c>
      <c r="AG2">
        <v>1.36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0.82</v>
      </c>
      <c r="AU2" t="s">
        <v>3</v>
      </c>
      <c r="AV2">
        <v>0</v>
      </c>
      <c r="AW2">
        <v>2</v>
      </c>
      <c r="AX2">
        <v>81141590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ROUND(Y2*Source!I28*DO2,9)</f>
        <v>0</v>
      </c>
      <c r="CX2">
        <f>ROUND(Y2*Source!I28,9)</f>
        <v>2.46</v>
      </c>
      <c r="CY2">
        <f>AB2</f>
        <v>441.32</v>
      </c>
      <c r="CZ2">
        <f>AF2</f>
        <v>441.32</v>
      </c>
      <c r="DA2">
        <f>AJ2</f>
        <v>1</v>
      </c>
      <c r="DB2">
        <f t="shared" si="1"/>
        <v>361.88</v>
      </c>
      <c r="DC2">
        <f t="shared" si="2"/>
        <v>1.1200000000000001</v>
      </c>
      <c r="DD2" t="s">
        <v>3</v>
      </c>
      <c r="DE2" t="s">
        <v>3</v>
      </c>
      <c r="DF2">
        <f t="shared" si="3"/>
        <v>0</v>
      </c>
      <c r="DG2">
        <f t="shared" si="4"/>
        <v>1085.6500000000001</v>
      </c>
      <c r="DH2">
        <f t="shared" si="5"/>
        <v>3.35</v>
      </c>
      <c r="DI2">
        <f t="shared" si="6"/>
        <v>0</v>
      </c>
      <c r="DJ2">
        <f>DG2</f>
        <v>1085.6500000000001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81141517</v>
      </c>
      <c r="C3">
        <v>81141588</v>
      </c>
      <c r="D3">
        <v>0</v>
      </c>
      <c r="E3">
        <v>0</v>
      </c>
      <c r="F3">
        <v>1</v>
      </c>
      <c r="G3">
        <v>15514512</v>
      </c>
      <c r="H3">
        <v>3</v>
      </c>
      <c r="I3" t="s">
        <v>24</v>
      </c>
      <c r="J3" t="s">
        <v>3</v>
      </c>
      <c r="K3" t="s">
        <v>25</v>
      </c>
      <c r="L3">
        <v>1354</v>
      </c>
      <c r="N3">
        <v>1010</v>
      </c>
      <c r="O3" t="s">
        <v>18</v>
      </c>
      <c r="P3" t="s">
        <v>18</v>
      </c>
      <c r="Q3">
        <v>1</v>
      </c>
      <c r="W3">
        <v>0</v>
      </c>
      <c r="X3">
        <v>1652571088</v>
      </c>
      <c r="Y3">
        <f t="shared" si="0"/>
        <v>1</v>
      </c>
      <c r="AA3">
        <v>44980.08</v>
      </c>
      <c r="AB3">
        <v>0</v>
      </c>
      <c r="AC3">
        <v>0</v>
      </c>
      <c r="AD3">
        <v>0</v>
      </c>
      <c r="AE3">
        <v>44980.08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0</v>
      </c>
      <c r="AN3">
        <v>0</v>
      </c>
      <c r="AO3">
        <v>0</v>
      </c>
      <c r="AP3">
        <v>1</v>
      </c>
      <c r="AQ3">
        <v>0</v>
      </c>
      <c r="AR3">
        <v>0</v>
      </c>
      <c r="AS3" t="s">
        <v>3</v>
      </c>
      <c r="AT3">
        <v>1</v>
      </c>
      <c r="AU3" t="s">
        <v>3</v>
      </c>
      <c r="AV3">
        <v>0</v>
      </c>
      <c r="AW3">
        <v>1</v>
      </c>
      <c r="AX3">
        <v>-1</v>
      </c>
      <c r="AY3">
        <v>0</v>
      </c>
      <c r="AZ3">
        <v>0</v>
      </c>
      <c r="BA3" t="s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v>0</v>
      </c>
      <c r="CX3">
        <f>ROUND(Y3*Source!I28,9)</f>
        <v>3</v>
      </c>
      <c r="CY3">
        <f>AA3</f>
        <v>44980.08</v>
      </c>
      <c r="CZ3">
        <f>AE3</f>
        <v>44980.08</v>
      </c>
      <c r="DA3">
        <f>AI3</f>
        <v>1</v>
      </c>
      <c r="DB3">
        <f t="shared" si="1"/>
        <v>44980.08</v>
      </c>
      <c r="DC3">
        <f t="shared" si="2"/>
        <v>0</v>
      </c>
      <c r="DD3" t="s">
        <v>3</v>
      </c>
      <c r="DE3" t="s">
        <v>3</v>
      </c>
      <c r="DF3">
        <f t="shared" si="3"/>
        <v>134940.24</v>
      </c>
      <c r="DG3">
        <f t="shared" si="4"/>
        <v>0</v>
      </c>
      <c r="DH3">
        <f t="shared" si="5"/>
        <v>0</v>
      </c>
      <c r="DI3">
        <f t="shared" si="6"/>
        <v>0</v>
      </c>
      <c r="DJ3">
        <f>DF3</f>
        <v>134940.24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ROW(Source!A30)</f>
        <v>30</v>
      </c>
      <c r="B4">
        <v>81141517</v>
      </c>
      <c r="C4">
        <v>81141594</v>
      </c>
      <c r="D4">
        <v>80199986</v>
      </c>
      <c r="E4">
        <v>15514512</v>
      </c>
      <c r="F4">
        <v>1</v>
      </c>
      <c r="G4">
        <v>15514512</v>
      </c>
      <c r="H4">
        <v>1</v>
      </c>
      <c r="I4" t="s">
        <v>264</v>
      </c>
      <c r="J4" t="s">
        <v>3</v>
      </c>
      <c r="K4" t="s">
        <v>265</v>
      </c>
      <c r="L4">
        <v>1191</v>
      </c>
      <c r="N4">
        <v>1013</v>
      </c>
      <c r="O4" t="s">
        <v>266</v>
      </c>
      <c r="P4" t="s">
        <v>266</v>
      </c>
      <c r="Q4">
        <v>1</v>
      </c>
      <c r="W4">
        <v>0</v>
      </c>
      <c r="X4">
        <v>476480486</v>
      </c>
      <c r="Y4">
        <f t="shared" si="0"/>
        <v>1.18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1.18</v>
      </c>
      <c r="AU4" t="s">
        <v>3</v>
      </c>
      <c r="AV4">
        <v>1</v>
      </c>
      <c r="AW4">
        <v>2</v>
      </c>
      <c r="AX4">
        <v>81141595</v>
      </c>
      <c r="AY4">
        <v>1</v>
      </c>
      <c r="AZ4">
        <v>0</v>
      </c>
      <c r="BA4">
        <v>3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U4">
        <f>ROUND(AT4*Source!I30*AH4*AL4,2)</f>
        <v>0</v>
      </c>
      <c r="CV4">
        <f>ROUND(Y4*Source!I30,9)</f>
        <v>46.02</v>
      </c>
      <c r="CW4">
        <v>0</v>
      </c>
      <c r="CX4">
        <f>ROUND(Y4*Source!I30,9)</f>
        <v>46.02</v>
      </c>
      <c r="CY4">
        <f>AD4</f>
        <v>0</v>
      </c>
      <c r="CZ4">
        <f>AH4</f>
        <v>0</v>
      </c>
      <c r="DA4">
        <f>AL4</f>
        <v>1</v>
      </c>
      <c r="DB4">
        <f t="shared" si="1"/>
        <v>0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 t="shared" si="4"/>
        <v>0</v>
      </c>
      <c r="DH4">
        <f t="shared" si="5"/>
        <v>0</v>
      </c>
      <c r="DI4">
        <f t="shared" si="6"/>
        <v>0</v>
      </c>
      <c r="DJ4">
        <f>DI4</f>
        <v>0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ROW(Source!A30)</f>
        <v>30</v>
      </c>
      <c r="B5">
        <v>81141517</v>
      </c>
      <c r="C5">
        <v>81141594</v>
      </c>
      <c r="D5">
        <v>0</v>
      </c>
      <c r="E5">
        <v>0</v>
      </c>
      <c r="F5">
        <v>1</v>
      </c>
      <c r="G5">
        <v>15514512</v>
      </c>
      <c r="H5">
        <v>3</v>
      </c>
      <c r="I5" t="s">
        <v>24</v>
      </c>
      <c r="J5" t="s">
        <v>3</v>
      </c>
      <c r="K5" t="s">
        <v>33</v>
      </c>
      <c r="L5">
        <v>1354</v>
      </c>
      <c r="N5">
        <v>1010</v>
      </c>
      <c r="O5" t="s">
        <v>18</v>
      </c>
      <c r="P5" t="s">
        <v>18</v>
      </c>
      <c r="Q5">
        <v>1</v>
      </c>
      <c r="W5">
        <v>0</v>
      </c>
      <c r="X5">
        <v>347318189</v>
      </c>
      <c r="Y5">
        <f t="shared" si="0"/>
        <v>7.6923080000000005E-2</v>
      </c>
      <c r="AA5">
        <v>37099.99</v>
      </c>
      <c r="AB5">
        <v>0</v>
      </c>
      <c r="AC5">
        <v>0</v>
      </c>
      <c r="AD5">
        <v>0</v>
      </c>
      <c r="AE5">
        <v>37099.99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0</v>
      </c>
      <c r="AN5">
        <v>0</v>
      </c>
      <c r="AO5">
        <v>0</v>
      </c>
      <c r="AP5">
        <v>1</v>
      </c>
      <c r="AQ5">
        <v>0</v>
      </c>
      <c r="AR5">
        <v>0</v>
      </c>
      <c r="AS5" t="s">
        <v>3</v>
      </c>
      <c r="AT5">
        <v>7.6923080000000005E-2</v>
      </c>
      <c r="AU5" t="s">
        <v>3</v>
      </c>
      <c r="AV5">
        <v>0</v>
      </c>
      <c r="AW5">
        <v>1</v>
      </c>
      <c r="AX5">
        <v>-1</v>
      </c>
      <c r="AY5">
        <v>0</v>
      </c>
      <c r="AZ5">
        <v>0</v>
      </c>
      <c r="BA5" t="s">
        <v>3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ROUND(Y5*Source!I30,9)</f>
        <v>3.0000001200000002</v>
      </c>
      <c r="CY5">
        <f>AA5</f>
        <v>37099.99</v>
      </c>
      <c r="CZ5">
        <f>AE5</f>
        <v>37099.99</v>
      </c>
      <c r="DA5">
        <f>AI5</f>
        <v>1</v>
      </c>
      <c r="DB5">
        <f t="shared" si="1"/>
        <v>2853.85</v>
      </c>
      <c r="DC5">
        <f t="shared" si="2"/>
        <v>0</v>
      </c>
      <c r="DD5" t="s">
        <v>3</v>
      </c>
      <c r="DE5" t="s">
        <v>3</v>
      </c>
      <c r="DF5">
        <f t="shared" si="3"/>
        <v>111299.97</v>
      </c>
      <c r="DG5">
        <f t="shared" si="4"/>
        <v>0</v>
      </c>
      <c r="DH5">
        <f t="shared" si="5"/>
        <v>0</v>
      </c>
      <c r="DI5">
        <f t="shared" si="6"/>
        <v>0</v>
      </c>
      <c r="DJ5">
        <f>DF5</f>
        <v>111299.97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ROW(Source!A30)</f>
        <v>30</v>
      </c>
      <c r="B6">
        <v>81141517</v>
      </c>
      <c r="C6">
        <v>81141594</v>
      </c>
      <c r="D6">
        <v>0</v>
      </c>
      <c r="E6">
        <v>15514512</v>
      </c>
      <c r="F6">
        <v>1</v>
      </c>
      <c r="G6">
        <v>15514512</v>
      </c>
      <c r="H6">
        <v>3</v>
      </c>
      <c r="I6" t="s">
        <v>24</v>
      </c>
      <c r="J6" t="s">
        <v>3</v>
      </c>
      <c r="K6" t="s">
        <v>36</v>
      </c>
      <c r="L6">
        <v>1354</v>
      </c>
      <c r="N6">
        <v>1010</v>
      </c>
      <c r="O6" t="s">
        <v>18</v>
      </c>
      <c r="P6" t="s">
        <v>18</v>
      </c>
      <c r="Q6">
        <v>1</v>
      </c>
      <c r="W6">
        <v>0</v>
      </c>
      <c r="X6">
        <v>-187466034</v>
      </c>
      <c r="Y6">
        <f t="shared" si="0"/>
        <v>0.25641026</v>
      </c>
      <c r="AA6">
        <v>6150.6</v>
      </c>
      <c r="AB6">
        <v>0</v>
      </c>
      <c r="AC6">
        <v>0</v>
      </c>
      <c r="AD6">
        <v>0</v>
      </c>
      <c r="AE6">
        <v>6150.6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 t="s">
        <v>3</v>
      </c>
      <c r="AT6">
        <v>0.25641026</v>
      </c>
      <c r="AU6" t="s">
        <v>3</v>
      </c>
      <c r="AV6">
        <v>0</v>
      </c>
      <c r="AW6">
        <v>1</v>
      </c>
      <c r="AX6">
        <v>-1</v>
      </c>
      <c r="AY6">
        <v>0</v>
      </c>
      <c r="AZ6">
        <v>0</v>
      </c>
      <c r="BA6" t="s">
        <v>3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ROUND(Y6*Source!I30,9)</f>
        <v>10.000000139999999</v>
      </c>
      <c r="CY6">
        <f>AA6</f>
        <v>6150.6</v>
      </c>
      <c r="CZ6">
        <f>AE6</f>
        <v>6150.6</v>
      </c>
      <c r="DA6">
        <f>AI6</f>
        <v>1</v>
      </c>
      <c r="DB6">
        <f t="shared" si="1"/>
        <v>1577.08</v>
      </c>
      <c r="DC6">
        <f t="shared" si="2"/>
        <v>0</v>
      </c>
      <c r="DD6" t="s">
        <v>3</v>
      </c>
      <c r="DE6" t="s">
        <v>3</v>
      </c>
      <c r="DF6">
        <f t="shared" si="3"/>
        <v>61506</v>
      </c>
      <c r="DG6">
        <f t="shared" si="4"/>
        <v>0</v>
      </c>
      <c r="DH6">
        <f t="shared" si="5"/>
        <v>0</v>
      </c>
      <c r="DI6">
        <f t="shared" si="6"/>
        <v>0</v>
      </c>
      <c r="DJ6">
        <f>DF6</f>
        <v>61506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ROW(Source!A30)</f>
        <v>30</v>
      </c>
      <c r="B7">
        <v>81141517</v>
      </c>
      <c r="C7">
        <v>81141594</v>
      </c>
      <c r="D7">
        <v>0</v>
      </c>
      <c r="E7">
        <v>15514512</v>
      </c>
      <c r="F7">
        <v>1</v>
      </c>
      <c r="G7">
        <v>15514512</v>
      </c>
      <c r="H7">
        <v>3</v>
      </c>
      <c r="I7" t="s">
        <v>24</v>
      </c>
      <c r="J7" t="s">
        <v>3</v>
      </c>
      <c r="K7" t="s">
        <v>39</v>
      </c>
      <c r="L7">
        <v>1354</v>
      </c>
      <c r="N7">
        <v>1010</v>
      </c>
      <c r="O7" t="s">
        <v>18</v>
      </c>
      <c r="P7" t="s">
        <v>18</v>
      </c>
      <c r="Q7">
        <v>1</v>
      </c>
      <c r="W7">
        <v>0</v>
      </c>
      <c r="X7">
        <v>4058684</v>
      </c>
      <c r="Y7">
        <f t="shared" si="0"/>
        <v>0.25641026</v>
      </c>
      <c r="AA7">
        <v>10506</v>
      </c>
      <c r="AB7">
        <v>0</v>
      </c>
      <c r="AC7">
        <v>0</v>
      </c>
      <c r="AD7">
        <v>0</v>
      </c>
      <c r="AE7">
        <v>10506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 t="s">
        <v>3</v>
      </c>
      <c r="AT7">
        <v>0.25641026</v>
      </c>
      <c r="AU7" t="s">
        <v>3</v>
      </c>
      <c r="AV7">
        <v>0</v>
      </c>
      <c r="AW7">
        <v>1</v>
      </c>
      <c r="AX7">
        <v>-1</v>
      </c>
      <c r="AY7">
        <v>0</v>
      </c>
      <c r="AZ7">
        <v>0</v>
      </c>
      <c r="BA7" t="s">
        <v>3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ROUND(Y7*Source!I30,9)</f>
        <v>10.000000139999999</v>
      </c>
      <c r="CY7">
        <f>AA7</f>
        <v>10506</v>
      </c>
      <c r="CZ7">
        <f>AE7</f>
        <v>10506</v>
      </c>
      <c r="DA7">
        <f>AI7</f>
        <v>1</v>
      </c>
      <c r="DB7">
        <f t="shared" si="1"/>
        <v>2693.85</v>
      </c>
      <c r="DC7">
        <f t="shared" si="2"/>
        <v>0</v>
      </c>
      <c r="DD7" t="s">
        <v>3</v>
      </c>
      <c r="DE7" t="s">
        <v>3</v>
      </c>
      <c r="DF7">
        <f t="shared" si="3"/>
        <v>105060</v>
      </c>
      <c r="DG7">
        <f t="shared" si="4"/>
        <v>0</v>
      </c>
      <c r="DH7">
        <f t="shared" si="5"/>
        <v>0</v>
      </c>
      <c r="DI7">
        <f t="shared" si="6"/>
        <v>0</v>
      </c>
      <c r="DJ7">
        <f>DF7</f>
        <v>105060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ROW(Source!A30)</f>
        <v>30</v>
      </c>
      <c r="B8">
        <v>81141517</v>
      </c>
      <c r="C8">
        <v>81141594</v>
      </c>
      <c r="D8">
        <v>0</v>
      </c>
      <c r="E8">
        <v>15514512</v>
      </c>
      <c r="F8">
        <v>1</v>
      </c>
      <c r="G8">
        <v>15514512</v>
      </c>
      <c r="H8">
        <v>3</v>
      </c>
      <c r="I8" t="s">
        <v>24</v>
      </c>
      <c r="J8" t="s">
        <v>3</v>
      </c>
      <c r="K8" t="s">
        <v>42</v>
      </c>
      <c r="L8">
        <v>1354</v>
      </c>
      <c r="N8">
        <v>1010</v>
      </c>
      <c r="O8" t="s">
        <v>18</v>
      </c>
      <c r="P8" t="s">
        <v>18</v>
      </c>
      <c r="Q8">
        <v>1</v>
      </c>
      <c r="W8">
        <v>0</v>
      </c>
      <c r="X8">
        <v>100909151</v>
      </c>
      <c r="Y8">
        <f t="shared" si="0"/>
        <v>0.10256410000000001</v>
      </c>
      <c r="AA8">
        <v>15399.96</v>
      </c>
      <c r="AB8">
        <v>0</v>
      </c>
      <c r="AC8">
        <v>0</v>
      </c>
      <c r="AD8">
        <v>0</v>
      </c>
      <c r="AE8">
        <v>15399.96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 t="s">
        <v>3</v>
      </c>
      <c r="AT8">
        <v>0.10256410000000001</v>
      </c>
      <c r="AU8" t="s">
        <v>3</v>
      </c>
      <c r="AV8">
        <v>0</v>
      </c>
      <c r="AW8">
        <v>1</v>
      </c>
      <c r="AX8">
        <v>-1</v>
      </c>
      <c r="AY8">
        <v>0</v>
      </c>
      <c r="AZ8">
        <v>0</v>
      </c>
      <c r="BA8" t="s">
        <v>3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ROUND(Y8*Source!I30,9)</f>
        <v>3.9999999000000002</v>
      </c>
      <c r="CY8">
        <f>AA8</f>
        <v>15399.96</v>
      </c>
      <c r="CZ8">
        <f>AE8</f>
        <v>15399.96</v>
      </c>
      <c r="DA8">
        <f>AI8</f>
        <v>1</v>
      </c>
      <c r="DB8">
        <f t="shared" si="1"/>
        <v>1579.48</v>
      </c>
      <c r="DC8">
        <f t="shared" si="2"/>
        <v>0</v>
      </c>
      <c r="DD8" t="s">
        <v>3</v>
      </c>
      <c r="DE8" t="s">
        <v>3</v>
      </c>
      <c r="DF8">
        <f t="shared" si="3"/>
        <v>61599.839999999997</v>
      </c>
      <c r="DG8">
        <f t="shared" si="4"/>
        <v>0</v>
      </c>
      <c r="DH8">
        <f t="shared" si="5"/>
        <v>0</v>
      </c>
      <c r="DI8">
        <f t="shared" si="6"/>
        <v>0</v>
      </c>
      <c r="DJ8">
        <f>DF8</f>
        <v>61599.839999999997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ROW(Source!A30)</f>
        <v>30</v>
      </c>
      <c r="B9">
        <v>81141517</v>
      </c>
      <c r="C9">
        <v>81141594</v>
      </c>
      <c r="D9">
        <v>0</v>
      </c>
      <c r="E9">
        <v>15514512</v>
      </c>
      <c r="F9">
        <v>1</v>
      </c>
      <c r="G9">
        <v>15514512</v>
      </c>
      <c r="H9">
        <v>3</v>
      </c>
      <c r="I9" t="s">
        <v>24</v>
      </c>
      <c r="J9" t="s">
        <v>3</v>
      </c>
      <c r="K9" t="s">
        <v>45</v>
      </c>
      <c r="L9">
        <v>1354</v>
      </c>
      <c r="N9">
        <v>1010</v>
      </c>
      <c r="O9" t="s">
        <v>18</v>
      </c>
      <c r="P9" t="s">
        <v>18</v>
      </c>
      <c r="Q9">
        <v>1</v>
      </c>
      <c r="W9">
        <v>0</v>
      </c>
      <c r="X9">
        <v>427429176</v>
      </c>
      <c r="Y9">
        <f t="shared" si="0"/>
        <v>0.30769229999999997</v>
      </c>
      <c r="AA9">
        <v>7250.04</v>
      </c>
      <c r="AB9">
        <v>0</v>
      </c>
      <c r="AC9">
        <v>0</v>
      </c>
      <c r="AD9">
        <v>0</v>
      </c>
      <c r="AE9">
        <v>7250.04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 t="s">
        <v>3</v>
      </c>
      <c r="AT9">
        <v>0.30769229999999997</v>
      </c>
      <c r="AU9" t="s">
        <v>3</v>
      </c>
      <c r="AV9">
        <v>0</v>
      </c>
      <c r="AW9">
        <v>1</v>
      </c>
      <c r="AX9">
        <v>-1</v>
      </c>
      <c r="AY9">
        <v>0</v>
      </c>
      <c r="AZ9">
        <v>0</v>
      </c>
      <c r="BA9" t="s">
        <v>3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ROUND(Y9*Source!I30,9)</f>
        <v>11.9999997</v>
      </c>
      <c r="CY9">
        <f>AA9</f>
        <v>7250.04</v>
      </c>
      <c r="CZ9">
        <f>AE9</f>
        <v>7250.04</v>
      </c>
      <c r="DA9">
        <f>AI9</f>
        <v>1</v>
      </c>
      <c r="DB9">
        <f t="shared" si="1"/>
        <v>2230.7800000000002</v>
      </c>
      <c r="DC9">
        <f t="shared" si="2"/>
        <v>0</v>
      </c>
      <c r="DD9" t="s">
        <v>3</v>
      </c>
      <c r="DE9" t="s">
        <v>3</v>
      </c>
      <c r="DF9">
        <f t="shared" si="3"/>
        <v>87000.48</v>
      </c>
      <c r="DG9">
        <f t="shared" si="4"/>
        <v>0</v>
      </c>
      <c r="DH9">
        <f t="shared" si="5"/>
        <v>0</v>
      </c>
      <c r="DI9">
        <f t="shared" si="6"/>
        <v>0</v>
      </c>
      <c r="DJ9">
        <f>DF9</f>
        <v>87000.48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ROW(Source!A36)</f>
        <v>36</v>
      </c>
      <c r="B10">
        <v>81141517</v>
      </c>
      <c r="C10">
        <v>81141664</v>
      </c>
      <c r="D10">
        <v>80199986</v>
      </c>
      <c r="E10">
        <v>15514512</v>
      </c>
      <c r="F10">
        <v>1</v>
      </c>
      <c r="G10">
        <v>15514512</v>
      </c>
      <c r="H10">
        <v>1</v>
      </c>
      <c r="I10" t="s">
        <v>264</v>
      </c>
      <c r="J10" t="s">
        <v>3</v>
      </c>
      <c r="K10" t="s">
        <v>265</v>
      </c>
      <c r="L10">
        <v>1191</v>
      </c>
      <c r="N10">
        <v>1013</v>
      </c>
      <c r="O10" t="s">
        <v>266</v>
      </c>
      <c r="P10" t="s">
        <v>266</v>
      </c>
      <c r="Q10">
        <v>1</v>
      </c>
      <c r="W10">
        <v>0</v>
      </c>
      <c r="X10">
        <v>476480486</v>
      </c>
      <c r="Y10">
        <f t="shared" si="0"/>
        <v>2.37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2.37</v>
      </c>
      <c r="AU10" t="s">
        <v>3</v>
      </c>
      <c r="AV10">
        <v>1</v>
      </c>
      <c r="AW10">
        <v>2</v>
      </c>
      <c r="AX10">
        <v>81141678</v>
      </c>
      <c r="AY10">
        <v>1</v>
      </c>
      <c r="AZ10">
        <v>0</v>
      </c>
      <c r="BA10">
        <v>4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U10">
        <f>ROUND(AT10*Source!I36*AH10*AL10,2)</f>
        <v>0</v>
      </c>
      <c r="CV10">
        <f>ROUND(Y10*Source!I36,9)</f>
        <v>56.88</v>
      </c>
      <c r="CW10">
        <v>0</v>
      </c>
      <c r="CX10">
        <f>ROUND(Y10*Source!I36,9)</f>
        <v>56.88</v>
      </c>
      <c r="CY10">
        <f>AD10</f>
        <v>0</v>
      </c>
      <c r="CZ10">
        <f>AH10</f>
        <v>0</v>
      </c>
      <c r="DA10">
        <f>AL10</f>
        <v>1</v>
      </c>
      <c r="DB10">
        <f t="shared" si="1"/>
        <v>0</v>
      </c>
      <c r="DC10">
        <f t="shared" si="2"/>
        <v>0</v>
      </c>
      <c r="DD10" t="s">
        <v>3</v>
      </c>
      <c r="DE10" t="s">
        <v>3</v>
      </c>
      <c r="DF10">
        <f t="shared" si="3"/>
        <v>0</v>
      </c>
      <c r="DG10">
        <f t="shared" si="4"/>
        <v>0</v>
      </c>
      <c r="DH10">
        <f t="shared" si="5"/>
        <v>0</v>
      </c>
      <c r="DI10">
        <f t="shared" si="6"/>
        <v>0</v>
      </c>
      <c r="DJ10">
        <f>DI10</f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ROW(Source!A36)</f>
        <v>36</v>
      </c>
      <c r="B11">
        <v>81141517</v>
      </c>
      <c r="C11">
        <v>81141664</v>
      </c>
      <c r="D11">
        <v>80212735</v>
      </c>
      <c r="E11">
        <v>1</v>
      </c>
      <c r="F11">
        <v>1</v>
      </c>
      <c r="G11">
        <v>15514512</v>
      </c>
      <c r="H11">
        <v>2</v>
      </c>
      <c r="I11" t="s">
        <v>271</v>
      </c>
      <c r="J11" t="s">
        <v>272</v>
      </c>
      <c r="K11" t="s">
        <v>273</v>
      </c>
      <c r="L11">
        <v>1368</v>
      </c>
      <c r="N11">
        <v>1011</v>
      </c>
      <c r="O11" t="s">
        <v>270</v>
      </c>
      <c r="P11" t="s">
        <v>270</v>
      </c>
      <c r="Q11">
        <v>1</v>
      </c>
      <c r="W11">
        <v>0</v>
      </c>
      <c r="X11">
        <v>421484037</v>
      </c>
      <c r="Y11">
        <f t="shared" si="0"/>
        <v>0.64</v>
      </c>
      <c r="AA11">
        <v>0</v>
      </c>
      <c r="AB11">
        <v>1994.58</v>
      </c>
      <c r="AC11">
        <v>1007.74</v>
      </c>
      <c r="AD11">
        <v>0</v>
      </c>
      <c r="AE11">
        <v>0</v>
      </c>
      <c r="AF11">
        <v>1994.58</v>
      </c>
      <c r="AG11">
        <v>1007.74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0.64</v>
      </c>
      <c r="AU11" t="s">
        <v>3</v>
      </c>
      <c r="AV11">
        <v>0</v>
      </c>
      <c r="AW11">
        <v>2</v>
      </c>
      <c r="AX11">
        <v>81141679</v>
      </c>
      <c r="AY11">
        <v>1</v>
      </c>
      <c r="AZ11">
        <v>0</v>
      </c>
      <c r="BA11">
        <v>5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f>ROUND(Y11*Source!I36*DO11,9)</f>
        <v>0</v>
      </c>
      <c r="CX11">
        <f>ROUND(Y11*Source!I36,9)</f>
        <v>15.36</v>
      </c>
      <c r="CY11">
        <f>AB11</f>
        <v>1994.58</v>
      </c>
      <c r="CZ11">
        <f>AF11</f>
        <v>1994.58</v>
      </c>
      <c r="DA11">
        <f>AJ11</f>
        <v>1</v>
      </c>
      <c r="DB11">
        <f t="shared" si="1"/>
        <v>1276.53</v>
      </c>
      <c r="DC11">
        <f t="shared" si="2"/>
        <v>644.95000000000005</v>
      </c>
      <c r="DD11" t="s">
        <v>3</v>
      </c>
      <c r="DE11" t="s">
        <v>3</v>
      </c>
      <c r="DF11">
        <f t="shared" si="3"/>
        <v>0</v>
      </c>
      <c r="DG11">
        <f t="shared" si="4"/>
        <v>30636.75</v>
      </c>
      <c r="DH11">
        <f t="shared" si="5"/>
        <v>15478.89</v>
      </c>
      <c r="DI11">
        <f t="shared" si="6"/>
        <v>0</v>
      </c>
      <c r="DJ11">
        <f>DG11</f>
        <v>30636.75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ROW(Source!A36)</f>
        <v>36</v>
      </c>
      <c r="B12">
        <v>81141517</v>
      </c>
      <c r="C12">
        <v>81141664</v>
      </c>
      <c r="D12">
        <v>80215258</v>
      </c>
      <c r="E12">
        <v>1</v>
      </c>
      <c r="F12">
        <v>1</v>
      </c>
      <c r="G12">
        <v>15514512</v>
      </c>
      <c r="H12">
        <v>3</v>
      </c>
      <c r="I12" t="s">
        <v>274</v>
      </c>
      <c r="J12" t="s">
        <v>275</v>
      </c>
      <c r="K12" t="s">
        <v>276</v>
      </c>
      <c r="L12">
        <v>1346</v>
      </c>
      <c r="N12">
        <v>1009</v>
      </c>
      <c r="O12" t="s">
        <v>277</v>
      </c>
      <c r="P12" t="s">
        <v>277</v>
      </c>
      <c r="Q12">
        <v>1</v>
      </c>
      <c r="W12">
        <v>0</v>
      </c>
      <c r="X12">
        <v>-1733743716</v>
      </c>
      <c r="Y12">
        <f t="shared" si="0"/>
        <v>0.16</v>
      </c>
      <c r="AA12">
        <v>375.16</v>
      </c>
      <c r="AB12">
        <v>0</v>
      </c>
      <c r="AC12">
        <v>0</v>
      </c>
      <c r="AD12">
        <v>0</v>
      </c>
      <c r="AE12">
        <v>375.16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0.16</v>
      </c>
      <c r="AU12" t="s">
        <v>3</v>
      </c>
      <c r="AV12">
        <v>0</v>
      </c>
      <c r="AW12">
        <v>2</v>
      </c>
      <c r="AX12">
        <v>81141680</v>
      </c>
      <c r="AY12">
        <v>1</v>
      </c>
      <c r="AZ12">
        <v>0</v>
      </c>
      <c r="BA12">
        <v>6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ROUND(Y12*Source!I36,9)</f>
        <v>3.84</v>
      </c>
      <c r="CY12">
        <f t="shared" ref="CY12:CY19" si="7">AA12</f>
        <v>375.16</v>
      </c>
      <c r="CZ12">
        <f t="shared" ref="CZ12:CZ19" si="8">AE12</f>
        <v>375.16</v>
      </c>
      <c r="DA12">
        <f t="shared" ref="DA12:DA19" si="9">AI12</f>
        <v>1</v>
      </c>
      <c r="DB12">
        <f t="shared" si="1"/>
        <v>60.03</v>
      </c>
      <c r="DC12">
        <f t="shared" si="2"/>
        <v>0</v>
      </c>
      <c r="DD12" t="s">
        <v>3</v>
      </c>
      <c r="DE12" t="s">
        <v>3</v>
      </c>
      <c r="DF12">
        <f t="shared" si="3"/>
        <v>1440.61</v>
      </c>
      <c r="DG12">
        <f t="shared" si="4"/>
        <v>0</v>
      </c>
      <c r="DH12">
        <f t="shared" si="5"/>
        <v>0</v>
      </c>
      <c r="DI12">
        <f t="shared" si="6"/>
        <v>0</v>
      </c>
      <c r="DJ12">
        <f t="shared" ref="DJ12:DJ19" si="10">DF12</f>
        <v>1440.61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ROW(Source!A36)</f>
        <v>36</v>
      </c>
      <c r="B13">
        <v>81141517</v>
      </c>
      <c r="C13">
        <v>81141664</v>
      </c>
      <c r="D13">
        <v>80222544</v>
      </c>
      <c r="E13">
        <v>1</v>
      </c>
      <c r="F13">
        <v>1</v>
      </c>
      <c r="G13">
        <v>15514512</v>
      </c>
      <c r="H13">
        <v>3</v>
      </c>
      <c r="I13" t="s">
        <v>278</v>
      </c>
      <c r="J13" t="s">
        <v>279</v>
      </c>
      <c r="K13" t="s">
        <v>280</v>
      </c>
      <c r="L13">
        <v>1301</v>
      </c>
      <c r="N13">
        <v>1003</v>
      </c>
      <c r="O13" t="s">
        <v>281</v>
      </c>
      <c r="P13" t="s">
        <v>281</v>
      </c>
      <c r="Q13">
        <v>1</v>
      </c>
      <c r="W13">
        <v>0</v>
      </c>
      <c r="X13">
        <v>-1241089019</v>
      </c>
      <c r="Y13">
        <f t="shared" si="0"/>
        <v>5.5</v>
      </c>
      <c r="AA13">
        <v>5.67</v>
      </c>
      <c r="AB13">
        <v>0</v>
      </c>
      <c r="AC13">
        <v>0</v>
      </c>
      <c r="AD13">
        <v>0</v>
      </c>
      <c r="AE13">
        <v>5.67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5.5</v>
      </c>
      <c r="AU13" t="s">
        <v>3</v>
      </c>
      <c r="AV13">
        <v>0</v>
      </c>
      <c r="AW13">
        <v>2</v>
      </c>
      <c r="AX13">
        <v>81141681</v>
      </c>
      <c r="AY13">
        <v>1</v>
      </c>
      <c r="AZ13">
        <v>0</v>
      </c>
      <c r="BA13">
        <v>7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ROUND(Y13*Source!I36,9)</f>
        <v>132</v>
      </c>
      <c r="CY13">
        <f t="shared" si="7"/>
        <v>5.67</v>
      </c>
      <c r="CZ13">
        <f t="shared" si="8"/>
        <v>5.67</v>
      </c>
      <c r="DA13">
        <f t="shared" si="9"/>
        <v>1</v>
      </c>
      <c r="DB13">
        <f t="shared" si="1"/>
        <v>31.19</v>
      </c>
      <c r="DC13">
        <f t="shared" si="2"/>
        <v>0</v>
      </c>
      <c r="DD13" t="s">
        <v>3</v>
      </c>
      <c r="DE13" t="s">
        <v>3</v>
      </c>
      <c r="DF13">
        <f t="shared" si="3"/>
        <v>748.44</v>
      </c>
      <c r="DG13">
        <f t="shared" si="4"/>
        <v>0</v>
      </c>
      <c r="DH13">
        <f t="shared" si="5"/>
        <v>0</v>
      </c>
      <c r="DI13">
        <f t="shared" si="6"/>
        <v>0</v>
      </c>
      <c r="DJ13">
        <f t="shared" si="10"/>
        <v>748.44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ROW(Source!A36)</f>
        <v>36</v>
      </c>
      <c r="B14">
        <v>81141517</v>
      </c>
      <c r="C14">
        <v>81141664</v>
      </c>
      <c r="D14">
        <v>80222441</v>
      </c>
      <c r="E14">
        <v>1</v>
      </c>
      <c r="F14">
        <v>1</v>
      </c>
      <c r="G14">
        <v>15514512</v>
      </c>
      <c r="H14">
        <v>3</v>
      </c>
      <c r="I14" t="s">
        <v>282</v>
      </c>
      <c r="J14" t="s">
        <v>283</v>
      </c>
      <c r="K14" t="s">
        <v>284</v>
      </c>
      <c r="L14">
        <v>1356</v>
      </c>
      <c r="N14">
        <v>1010</v>
      </c>
      <c r="O14" t="s">
        <v>285</v>
      </c>
      <c r="P14" t="s">
        <v>285</v>
      </c>
      <c r="Q14">
        <v>1000</v>
      </c>
      <c r="W14">
        <v>0</v>
      </c>
      <c r="X14">
        <v>372904863</v>
      </c>
      <c r="Y14">
        <f t="shared" si="0"/>
        <v>5.0000000000000001E-3</v>
      </c>
      <c r="AA14">
        <v>736.04</v>
      </c>
      <c r="AB14">
        <v>0</v>
      </c>
      <c r="AC14">
        <v>0</v>
      </c>
      <c r="AD14">
        <v>0</v>
      </c>
      <c r="AE14">
        <v>736.04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5.0000000000000001E-3</v>
      </c>
      <c r="AU14" t="s">
        <v>3</v>
      </c>
      <c r="AV14">
        <v>0</v>
      </c>
      <c r="AW14">
        <v>2</v>
      </c>
      <c r="AX14">
        <v>81141682</v>
      </c>
      <c r="AY14">
        <v>1</v>
      </c>
      <c r="AZ14">
        <v>0</v>
      </c>
      <c r="BA14">
        <v>8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ROUND(Y14*Source!I36,9)</f>
        <v>0.12</v>
      </c>
      <c r="CY14">
        <f t="shared" si="7"/>
        <v>736.04</v>
      </c>
      <c r="CZ14">
        <f t="shared" si="8"/>
        <v>736.04</v>
      </c>
      <c r="DA14">
        <f t="shared" si="9"/>
        <v>1</v>
      </c>
      <c r="DB14">
        <f t="shared" si="1"/>
        <v>3.68</v>
      </c>
      <c r="DC14">
        <f t="shared" si="2"/>
        <v>0</v>
      </c>
      <c r="DD14" t="s">
        <v>3</v>
      </c>
      <c r="DE14" t="s">
        <v>3</v>
      </c>
      <c r="DF14">
        <f t="shared" si="3"/>
        <v>88.32</v>
      </c>
      <c r="DG14">
        <f t="shared" si="4"/>
        <v>0</v>
      </c>
      <c r="DH14">
        <f t="shared" si="5"/>
        <v>0</v>
      </c>
      <c r="DI14">
        <f t="shared" si="6"/>
        <v>0</v>
      </c>
      <c r="DJ14">
        <f t="shared" si="10"/>
        <v>88.32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ROW(Source!A36)</f>
        <v>36</v>
      </c>
      <c r="B15">
        <v>81141517</v>
      </c>
      <c r="C15">
        <v>81141664</v>
      </c>
      <c r="D15">
        <v>80222725</v>
      </c>
      <c r="E15">
        <v>1</v>
      </c>
      <c r="F15">
        <v>1</v>
      </c>
      <c r="G15">
        <v>15514512</v>
      </c>
      <c r="H15">
        <v>3</v>
      </c>
      <c r="I15" t="s">
        <v>286</v>
      </c>
      <c r="J15" t="s">
        <v>287</v>
      </c>
      <c r="K15" t="s">
        <v>288</v>
      </c>
      <c r="L15">
        <v>1354</v>
      </c>
      <c r="N15">
        <v>1010</v>
      </c>
      <c r="O15" t="s">
        <v>18</v>
      </c>
      <c r="P15" t="s">
        <v>18</v>
      </c>
      <c r="Q15">
        <v>1</v>
      </c>
      <c r="W15">
        <v>0</v>
      </c>
      <c r="X15">
        <v>-1606980538</v>
      </c>
      <c r="Y15">
        <f t="shared" si="0"/>
        <v>10</v>
      </c>
      <c r="AA15">
        <v>29.18</v>
      </c>
      <c r="AB15">
        <v>0</v>
      </c>
      <c r="AC15">
        <v>0</v>
      </c>
      <c r="AD15">
        <v>0</v>
      </c>
      <c r="AE15">
        <v>29.18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10</v>
      </c>
      <c r="AU15" t="s">
        <v>3</v>
      </c>
      <c r="AV15">
        <v>0</v>
      </c>
      <c r="AW15">
        <v>2</v>
      </c>
      <c r="AX15">
        <v>81141683</v>
      </c>
      <c r="AY15">
        <v>1</v>
      </c>
      <c r="AZ15">
        <v>0</v>
      </c>
      <c r="BA15">
        <v>9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ROUND(Y15*Source!I36,9)</f>
        <v>240</v>
      </c>
      <c r="CY15">
        <f t="shared" si="7"/>
        <v>29.18</v>
      </c>
      <c r="CZ15">
        <f t="shared" si="8"/>
        <v>29.18</v>
      </c>
      <c r="DA15">
        <f t="shared" si="9"/>
        <v>1</v>
      </c>
      <c r="DB15">
        <f t="shared" si="1"/>
        <v>291.8</v>
      </c>
      <c r="DC15">
        <f t="shared" si="2"/>
        <v>0</v>
      </c>
      <c r="DD15" t="s">
        <v>3</v>
      </c>
      <c r="DE15" t="s">
        <v>3</v>
      </c>
      <c r="DF15">
        <f t="shared" si="3"/>
        <v>7003.2</v>
      </c>
      <c r="DG15">
        <f t="shared" si="4"/>
        <v>0</v>
      </c>
      <c r="DH15">
        <f t="shared" si="5"/>
        <v>0</v>
      </c>
      <c r="DI15">
        <f t="shared" si="6"/>
        <v>0</v>
      </c>
      <c r="DJ15">
        <f t="shared" si="10"/>
        <v>7003.2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ROW(Source!A36)</f>
        <v>36</v>
      </c>
      <c r="B16">
        <v>81141517</v>
      </c>
      <c r="C16">
        <v>81141664</v>
      </c>
      <c r="D16">
        <v>80222756</v>
      </c>
      <c r="E16">
        <v>1</v>
      </c>
      <c r="F16">
        <v>1</v>
      </c>
      <c r="G16">
        <v>15514512</v>
      </c>
      <c r="H16">
        <v>3</v>
      </c>
      <c r="I16" t="s">
        <v>289</v>
      </c>
      <c r="J16" t="s">
        <v>290</v>
      </c>
      <c r="K16" t="s">
        <v>291</v>
      </c>
      <c r="L16">
        <v>1355</v>
      </c>
      <c r="N16">
        <v>1010</v>
      </c>
      <c r="O16" t="s">
        <v>86</v>
      </c>
      <c r="P16" t="s">
        <v>86</v>
      </c>
      <c r="Q16">
        <v>100</v>
      </c>
      <c r="W16">
        <v>0</v>
      </c>
      <c r="X16">
        <v>-820215927</v>
      </c>
      <c r="Y16">
        <f t="shared" si="0"/>
        <v>0.3</v>
      </c>
      <c r="AA16">
        <v>123.58</v>
      </c>
      <c r="AB16">
        <v>0</v>
      </c>
      <c r="AC16">
        <v>0</v>
      </c>
      <c r="AD16">
        <v>0</v>
      </c>
      <c r="AE16">
        <v>123.58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0.3</v>
      </c>
      <c r="AU16" t="s">
        <v>3</v>
      </c>
      <c r="AV16">
        <v>0</v>
      </c>
      <c r="AW16">
        <v>2</v>
      </c>
      <c r="AX16">
        <v>81141684</v>
      </c>
      <c r="AY16">
        <v>1</v>
      </c>
      <c r="AZ16">
        <v>0</v>
      </c>
      <c r="BA16">
        <v>10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ROUND(Y16*Source!I36,9)</f>
        <v>7.2</v>
      </c>
      <c r="CY16">
        <f t="shared" si="7"/>
        <v>123.58</v>
      </c>
      <c r="CZ16">
        <f t="shared" si="8"/>
        <v>123.58</v>
      </c>
      <c r="DA16">
        <f t="shared" si="9"/>
        <v>1</v>
      </c>
      <c r="DB16">
        <f t="shared" si="1"/>
        <v>37.07</v>
      </c>
      <c r="DC16">
        <f t="shared" si="2"/>
        <v>0</v>
      </c>
      <c r="DD16" t="s">
        <v>3</v>
      </c>
      <c r="DE16" t="s">
        <v>3</v>
      </c>
      <c r="DF16">
        <f t="shared" si="3"/>
        <v>889.78</v>
      </c>
      <c r="DG16">
        <f t="shared" si="4"/>
        <v>0</v>
      </c>
      <c r="DH16">
        <f t="shared" si="5"/>
        <v>0</v>
      </c>
      <c r="DI16">
        <f t="shared" si="6"/>
        <v>0</v>
      </c>
      <c r="DJ16">
        <f t="shared" si="10"/>
        <v>889.78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ROW(Source!A36)</f>
        <v>36</v>
      </c>
      <c r="B17">
        <v>81141517</v>
      </c>
      <c r="C17">
        <v>81141664</v>
      </c>
      <c r="D17">
        <v>80222478</v>
      </c>
      <c r="E17">
        <v>1</v>
      </c>
      <c r="F17">
        <v>1</v>
      </c>
      <c r="G17">
        <v>15514512</v>
      </c>
      <c r="H17">
        <v>3</v>
      </c>
      <c r="I17" t="s">
        <v>292</v>
      </c>
      <c r="J17" t="s">
        <v>293</v>
      </c>
      <c r="K17" t="s">
        <v>294</v>
      </c>
      <c r="L17">
        <v>1356</v>
      </c>
      <c r="N17">
        <v>1010</v>
      </c>
      <c r="O17" t="s">
        <v>285</v>
      </c>
      <c r="P17" t="s">
        <v>285</v>
      </c>
      <c r="Q17">
        <v>1000</v>
      </c>
      <c r="W17">
        <v>0</v>
      </c>
      <c r="X17">
        <v>-562871419</v>
      </c>
      <c r="Y17">
        <f t="shared" si="0"/>
        <v>0.02</v>
      </c>
      <c r="AA17">
        <v>238.4</v>
      </c>
      <c r="AB17">
        <v>0</v>
      </c>
      <c r="AC17">
        <v>0</v>
      </c>
      <c r="AD17">
        <v>0</v>
      </c>
      <c r="AE17">
        <v>238.4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0.02</v>
      </c>
      <c r="AU17" t="s">
        <v>3</v>
      </c>
      <c r="AV17">
        <v>0</v>
      </c>
      <c r="AW17">
        <v>2</v>
      </c>
      <c r="AX17">
        <v>81141685</v>
      </c>
      <c r="AY17">
        <v>1</v>
      </c>
      <c r="AZ17">
        <v>0</v>
      </c>
      <c r="BA17">
        <v>11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ROUND(Y17*Source!I36,9)</f>
        <v>0.48</v>
      </c>
      <c r="CY17">
        <f t="shared" si="7"/>
        <v>238.4</v>
      </c>
      <c r="CZ17">
        <f t="shared" si="8"/>
        <v>238.4</v>
      </c>
      <c r="DA17">
        <f t="shared" si="9"/>
        <v>1</v>
      </c>
      <c r="DB17">
        <f t="shared" si="1"/>
        <v>4.7699999999999996</v>
      </c>
      <c r="DC17">
        <f t="shared" si="2"/>
        <v>0</v>
      </c>
      <c r="DD17" t="s">
        <v>3</v>
      </c>
      <c r="DE17" t="s">
        <v>3</v>
      </c>
      <c r="DF17">
        <f t="shared" si="3"/>
        <v>114.43</v>
      </c>
      <c r="DG17">
        <f t="shared" si="4"/>
        <v>0</v>
      </c>
      <c r="DH17">
        <f t="shared" si="5"/>
        <v>0</v>
      </c>
      <c r="DI17">
        <f t="shared" si="6"/>
        <v>0</v>
      </c>
      <c r="DJ17">
        <f t="shared" si="10"/>
        <v>114.43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ROW(Source!A36)</f>
        <v>36</v>
      </c>
      <c r="B18">
        <v>81141517</v>
      </c>
      <c r="C18">
        <v>81141664</v>
      </c>
      <c r="D18">
        <v>80223815</v>
      </c>
      <c r="E18">
        <v>1</v>
      </c>
      <c r="F18">
        <v>1</v>
      </c>
      <c r="G18">
        <v>15514512</v>
      </c>
      <c r="H18">
        <v>3</v>
      </c>
      <c r="I18" t="s">
        <v>53</v>
      </c>
      <c r="J18" t="s">
        <v>56</v>
      </c>
      <c r="K18" t="s">
        <v>54</v>
      </c>
      <c r="L18">
        <v>1303</v>
      </c>
      <c r="N18">
        <v>1003</v>
      </c>
      <c r="O18" t="s">
        <v>55</v>
      </c>
      <c r="P18" t="s">
        <v>55</v>
      </c>
      <c r="Q18">
        <v>1000</v>
      </c>
      <c r="W18">
        <v>1</v>
      </c>
      <c r="X18">
        <v>-1159683909</v>
      </c>
      <c r="Y18">
        <f t="shared" si="0"/>
        <v>-0.10299999999999999</v>
      </c>
      <c r="AA18">
        <v>167820.34</v>
      </c>
      <c r="AB18">
        <v>0</v>
      </c>
      <c r="AC18">
        <v>0</v>
      </c>
      <c r="AD18">
        <v>0</v>
      </c>
      <c r="AE18">
        <v>167820.34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-0.10299999999999999</v>
      </c>
      <c r="AU18" t="s">
        <v>3</v>
      </c>
      <c r="AV18">
        <v>0</v>
      </c>
      <c r="AW18">
        <v>2</v>
      </c>
      <c r="AX18">
        <v>81141686</v>
      </c>
      <c r="AY18">
        <v>1</v>
      </c>
      <c r="AZ18">
        <v>6144</v>
      </c>
      <c r="BA18">
        <v>12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ROUND(Y18*Source!I36,9)</f>
        <v>-2.472</v>
      </c>
      <c r="CY18">
        <f t="shared" si="7"/>
        <v>167820.34</v>
      </c>
      <c r="CZ18">
        <f t="shared" si="8"/>
        <v>167820.34</v>
      </c>
      <c r="DA18">
        <f t="shared" si="9"/>
        <v>1</v>
      </c>
      <c r="DB18">
        <f t="shared" si="1"/>
        <v>-17285.5</v>
      </c>
      <c r="DC18">
        <f t="shared" si="2"/>
        <v>0</v>
      </c>
      <c r="DD18" t="s">
        <v>3</v>
      </c>
      <c r="DE18" t="s">
        <v>3</v>
      </c>
      <c r="DF18">
        <f t="shared" si="3"/>
        <v>-414851.88</v>
      </c>
      <c r="DG18">
        <f t="shared" si="4"/>
        <v>0</v>
      </c>
      <c r="DH18">
        <f t="shared" si="5"/>
        <v>0</v>
      </c>
      <c r="DI18">
        <f t="shared" si="6"/>
        <v>0</v>
      </c>
      <c r="DJ18">
        <f t="shared" si="10"/>
        <v>-414851.88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ROW(Source!A36)</f>
        <v>36</v>
      </c>
      <c r="B19">
        <v>81141517</v>
      </c>
      <c r="C19">
        <v>81141664</v>
      </c>
      <c r="D19">
        <v>0</v>
      </c>
      <c r="E19">
        <v>0</v>
      </c>
      <c r="F19">
        <v>1</v>
      </c>
      <c r="G19">
        <v>15514512</v>
      </c>
      <c r="H19">
        <v>3</v>
      </c>
      <c r="I19" t="s">
        <v>24</v>
      </c>
      <c r="J19" t="s">
        <v>3</v>
      </c>
      <c r="K19" t="s">
        <v>58</v>
      </c>
      <c r="L19">
        <v>2698</v>
      </c>
      <c r="N19">
        <v>1013</v>
      </c>
      <c r="O19" t="s">
        <v>59</v>
      </c>
      <c r="P19" t="s">
        <v>59</v>
      </c>
      <c r="Q19">
        <v>1</v>
      </c>
      <c r="W19">
        <v>0</v>
      </c>
      <c r="X19">
        <v>581377310</v>
      </c>
      <c r="Y19">
        <f t="shared" si="0"/>
        <v>100</v>
      </c>
      <c r="AA19">
        <v>58.7</v>
      </c>
      <c r="AB19">
        <v>0</v>
      </c>
      <c r="AC19">
        <v>0</v>
      </c>
      <c r="AD19">
        <v>0</v>
      </c>
      <c r="AE19">
        <v>58.7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0</v>
      </c>
      <c r="AN19">
        <v>0</v>
      </c>
      <c r="AO19">
        <v>0</v>
      </c>
      <c r="AP19">
        <v>1</v>
      </c>
      <c r="AQ19">
        <v>0</v>
      </c>
      <c r="AR19">
        <v>0</v>
      </c>
      <c r="AS19" t="s">
        <v>3</v>
      </c>
      <c r="AT19">
        <v>100</v>
      </c>
      <c r="AU19" t="s">
        <v>3</v>
      </c>
      <c r="AV19">
        <v>0</v>
      </c>
      <c r="AW19">
        <v>1</v>
      </c>
      <c r="AX19">
        <v>-1</v>
      </c>
      <c r="AY19">
        <v>0</v>
      </c>
      <c r="AZ19">
        <v>0</v>
      </c>
      <c r="BA19" t="s">
        <v>3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ROUND(Y19*Source!I36,9)</f>
        <v>2400</v>
      </c>
      <c r="CY19">
        <f t="shared" si="7"/>
        <v>58.7</v>
      </c>
      <c r="CZ19">
        <f t="shared" si="8"/>
        <v>58.7</v>
      </c>
      <c r="DA19">
        <f t="shared" si="9"/>
        <v>1</v>
      </c>
      <c r="DB19">
        <f t="shared" si="1"/>
        <v>5870</v>
      </c>
      <c r="DC19">
        <f t="shared" si="2"/>
        <v>0</v>
      </c>
      <c r="DD19" t="s">
        <v>3</v>
      </c>
      <c r="DE19" t="s">
        <v>3</v>
      </c>
      <c r="DF19">
        <f t="shared" si="3"/>
        <v>140880</v>
      </c>
      <c r="DG19">
        <f t="shared" si="4"/>
        <v>0</v>
      </c>
      <c r="DH19">
        <f t="shared" si="5"/>
        <v>0</v>
      </c>
      <c r="DI19">
        <f t="shared" si="6"/>
        <v>0</v>
      </c>
      <c r="DJ19">
        <f t="shared" si="10"/>
        <v>140880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ROW(Source!A39)</f>
        <v>39</v>
      </c>
      <c r="B20">
        <v>81141517</v>
      </c>
      <c r="C20">
        <v>81141691</v>
      </c>
      <c r="D20">
        <v>80199986</v>
      </c>
      <c r="E20">
        <v>15514512</v>
      </c>
      <c r="F20">
        <v>1</v>
      </c>
      <c r="G20">
        <v>15514512</v>
      </c>
      <c r="H20">
        <v>1</v>
      </c>
      <c r="I20" t="s">
        <v>264</v>
      </c>
      <c r="J20" t="s">
        <v>3</v>
      </c>
      <c r="K20" t="s">
        <v>265</v>
      </c>
      <c r="L20">
        <v>1191</v>
      </c>
      <c r="N20">
        <v>1013</v>
      </c>
      <c r="O20" t="s">
        <v>266</v>
      </c>
      <c r="P20" t="s">
        <v>266</v>
      </c>
      <c r="Q20">
        <v>1</v>
      </c>
      <c r="W20">
        <v>0</v>
      </c>
      <c r="X20">
        <v>476480486</v>
      </c>
      <c r="Y20">
        <f t="shared" si="0"/>
        <v>17.260000000000002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17.260000000000002</v>
      </c>
      <c r="AU20" t="s">
        <v>3</v>
      </c>
      <c r="AV20">
        <v>1</v>
      </c>
      <c r="AW20">
        <v>2</v>
      </c>
      <c r="AX20">
        <v>81141692</v>
      </c>
      <c r="AY20">
        <v>1</v>
      </c>
      <c r="AZ20">
        <v>0</v>
      </c>
      <c r="BA20">
        <v>13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U20">
        <f>ROUND(AT20*Source!I39*AH20*AL20,2)</f>
        <v>0</v>
      </c>
      <c r="CV20">
        <f>ROUND(Y20*Source!I39,9)</f>
        <v>552.32000000000005</v>
      </c>
      <c r="CW20">
        <v>0</v>
      </c>
      <c r="CX20">
        <f>ROUND(Y20*Source!I39,9)</f>
        <v>552.32000000000005</v>
      </c>
      <c r="CY20">
        <f>AD20</f>
        <v>0</v>
      </c>
      <c r="CZ20">
        <f>AH20</f>
        <v>0</v>
      </c>
      <c r="DA20">
        <f>AL20</f>
        <v>1</v>
      </c>
      <c r="DB20">
        <f t="shared" si="1"/>
        <v>0</v>
      </c>
      <c r="DC20">
        <f t="shared" si="2"/>
        <v>0</v>
      </c>
      <c r="DD20" t="s">
        <v>3</v>
      </c>
      <c r="DE20" t="s">
        <v>3</v>
      </c>
      <c r="DF20">
        <f t="shared" si="3"/>
        <v>0</v>
      </c>
      <c r="DG20">
        <f t="shared" si="4"/>
        <v>0</v>
      </c>
      <c r="DH20">
        <f t="shared" si="5"/>
        <v>0</v>
      </c>
      <c r="DI20">
        <f t="shared" si="6"/>
        <v>0</v>
      </c>
      <c r="DJ20">
        <f>DI20</f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ROW(Source!A39)</f>
        <v>39</v>
      </c>
      <c r="B21">
        <v>81141517</v>
      </c>
      <c r="C21">
        <v>81141691</v>
      </c>
      <c r="D21">
        <v>80213448</v>
      </c>
      <c r="E21">
        <v>1</v>
      </c>
      <c r="F21">
        <v>1</v>
      </c>
      <c r="G21">
        <v>15514512</v>
      </c>
      <c r="H21">
        <v>2</v>
      </c>
      <c r="I21" t="s">
        <v>295</v>
      </c>
      <c r="J21" t="s">
        <v>296</v>
      </c>
      <c r="K21" t="s">
        <v>297</v>
      </c>
      <c r="L21">
        <v>1368</v>
      </c>
      <c r="N21">
        <v>1011</v>
      </c>
      <c r="O21" t="s">
        <v>270</v>
      </c>
      <c r="P21" t="s">
        <v>270</v>
      </c>
      <c r="Q21">
        <v>1</v>
      </c>
      <c r="W21">
        <v>0</v>
      </c>
      <c r="X21">
        <v>-98617594</v>
      </c>
      <c r="Y21">
        <f t="shared" si="0"/>
        <v>4.8499999999999996</v>
      </c>
      <c r="AA21">
        <v>0</v>
      </c>
      <c r="AB21">
        <v>9.8000000000000007</v>
      </c>
      <c r="AC21">
        <v>0.11</v>
      </c>
      <c r="AD21">
        <v>0</v>
      </c>
      <c r="AE21">
        <v>0</v>
      </c>
      <c r="AF21">
        <v>9.8000000000000007</v>
      </c>
      <c r="AG21">
        <v>0.11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4.8499999999999996</v>
      </c>
      <c r="AU21" t="s">
        <v>3</v>
      </c>
      <c r="AV21">
        <v>0</v>
      </c>
      <c r="AW21">
        <v>2</v>
      </c>
      <c r="AX21">
        <v>81141693</v>
      </c>
      <c r="AY21">
        <v>1</v>
      </c>
      <c r="AZ21">
        <v>0</v>
      </c>
      <c r="BA21">
        <v>14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f>ROUND(Y21*Source!I39*DO21,9)</f>
        <v>0</v>
      </c>
      <c r="CX21">
        <f>ROUND(Y21*Source!I39,9)</f>
        <v>155.19999999999999</v>
      </c>
      <c r="CY21">
        <f>AB21</f>
        <v>9.8000000000000007</v>
      </c>
      <c r="CZ21">
        <f>AF21</f>
        <v>9.8000000000000007</v>
      </c>
      <c r="DA21">
        <f>AJ21</f>
        <v>1</v>
      </c>
      <c r="DB21">
        <f t="shared" si="1"/>
        <v>47.53</v>
      </c>
      <c r="DC21">
        <f t="shared" si="2"/>
        <v>0.53</v>
      </c>
      <c r="DD21" t="s">
        <v>3</v>
      </c>
      <c r="DE21" t="s">
        <v>3</v>
      </c>
      <c r="DF21">
        <f t="shared" si="3"/>
        <v>0</v>
      </c>
      <c r="DG21">
        <f t="shared" si="4"/>
        <v>1520.96</v>
      </c>
      <c r="DH21">
        <f t="shared" si="5"/>
        <v>17.07</v>
      </c>
      <c r="DI21">
        <f t="shared" si="6"/>
        <v>0</v>
      </c>
      <c r="DJ21">
        <f>DG21</f>
        <v>1520.96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ROW(Source!A39)</f>
        <v>39</v>
      </c>
      <c r="B22">
        <v>81141517</v>
      </c>
      <c r="C22">
        <v>81141691</v>
      </c>
      <c r="D22">
        <v>80213412</v>
      </c>
      <c r="E22">
        <v>1</v>
      </c>
      <c r="F22">
        <v>1</v>
      </c>
      <c r="G22">
        <v>15514512</v>
      </c>
      <c r="H22">
        <v>2</v>
      </c>
      <c r="I22" t="s">
        <v>298</v>
      </c>
      <c r="J22" t="s">
        <v>299</v>
      </c>
      <c r="K22" t="s">
        <v>300</v>
      </c>
      <c r="L22">
        <v>1368</v>
      </c>
      <c r="N22">
        <v>1011</v>
      </c>
      <c r="O22" t="s">
        <v>270</v>
      </c>
      <c r="P22" t="s">
        <v>270</v>
      </c>
      <c r="Q22">
        <v>1</v>
      </c>
      <c r="W22">
        <v>0</v>
      </c>
      <c r="X22">
        <v>457714981</v>
      </c>
      <c r="Y22">
        <f t="shared" si="0"/>
        <v>0.48</v>
      </c>
      <c r="AA22">
        <v>0</v>
      </c>
      <c r="AB22">
        <v>10.66</v>
      </c>
      <c r="AC22">
        <v>0.12</v>
      </c>
      <c r="AD22">
        <v>0</v>
      </c>
      <c r="AE22">
        <v>0</v>
      </c>
      <c r="AF22">
        <v>10.66</v>
      </c>
      <c r="AG22">
        <v>0.12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0.48</v>
      </c>
      <c r="AU22" t="s">
        <v>3</v>
      </c>
      <c r="AV22">
        <v>0</v>
      </c>
      <c r="AW22">
        <v>2</v>
      </c>
      <c r="AX22">
        <v>81141694</v>
      </c>
      <c r="AY22">
        <v>1</v>
      </c>
      <c r="AZ22">
        <v>0</v>
      </c>
      <c r="BA22">
        <v>15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f>ROUND(Y22*Source!I39*DO22,9)</f>
        <v>0</v>
      </c>
      <c r="CX22">
        <f>ROUND(Y22*Source!I39,9)</f>
        <v>15.36</v>
      </c>
      <c r="CY22">
        <f>AB22</f>
        <v>10.66</v>
      </c>
      <c r="CZ22">
        <f>AF22</f>
        <v>10.66</v>
      </c>
      <c r="DA22">
        <f>AJ22</f>
        <v>1</v>
      </c>
      <c r="DB22">
        <f t="shared" si="1"/>
        <v>5.12</v>
      </c>
      <c r="DC22">
        <f t="shared" si="2"/>
        <v>0.06</v>
      </c>
      <c r="DD22" t="s">
        <v>3</v>
      </c>
      <c r="DE22" t="s">
        <v>3</v>
      </c>
      <c r="DF22">
        <f t="shared" si="3"/>
        <v>0</v>
      </c>
      <c r="DG22">
        <f t="shared" si="4"/>
        <v>163.74</v>
      </c>
      <c r="DH22">
        <f t="shared" si="5"/>
        <v>1.84</v>
      </c>
      <c r="DI22">
        <f t="shared" si="6"/>
        <v>0</v>
      </c>
      <c r="DJ22">
        <f>DG22</f>
        <v>163.74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ROW(Source!A39)</f>
        <v>39</v>
      </c>
      <c r="B23">
        <v>81141517</v>
      </c>
      <c r="C23">
        <v>81141691</v>
      </c>
      <c r="D23">
        <v>80214598</v>
      </c>
      <c r="E23">
        <v>1</v>
      </c>
      <c r="F23">
        <v>1</v>
      </c>
      <c r="G23">
        <v>15514512</v>
      </c>
      <c r="H23">
        <v>3</v>
      </c>
      <c r="I23" t="s">
        <v>301</v>
      </c>
      <c r="J23" t="s">
        <v>302</v>
      </c>
      <c r="K23" t="s">
        <v>303</v>
      </c>
      <c r="L23">
        <v>1348</v>
      </c>
      <c r="N23">
        <v>1009</v>
      </c>
      <c r="O23" t="s">
        <v>304</v>
      </c>
      <c r="P23" t="s">
        <v>304</v>
      </c>
      <c r="Q23">
        <v>1000</v>
      </c>
      <c r="W23">
        <v>0</v>
      </c>
      <c r="X23">
        <v>180314326</v>
      </c>
      <c r="Y23">
        <f t="shared" si="0"/>
        <v>2.2200000000000002E-3</v>
      </c>
      <c r="AA23">
        <v>206408.91</v>
      </c>
      <c r="AB23">
        <v>0</v>
      </c>
      <c r="AC23">
        <v>0</v>
      </c>
      <c r="AD23">
        <v>0</v>
      </c>
      <c r="AE23">
        <v>206408.91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2.2200000000000002E-3</v>
      </c>
      <c r="AU23" t="s">
        <v>3</v>
      </c>
      <c r="AV23">
        <v>0</v>
      </c>
      <c r="AW23">
        <v>2</v>
      </c>
      <c r="AX23">
        <v>81141695</v>
      </c>
      <c r="AY23">
        <v>1</v>
      </c>
      <c r="AZ23">
        <v>0</v>
      </c>
      <c r="BA23">
        <v>16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ROUND(Y23*Source!I39,9)</f>
        <v>7.1040000000000006E-2</v>
      </c>
      <c r="CY23">
        <f t="shared" ref="CY23:CY29" si="11">AA23</f>
        <v>206408.91</v>
      </c>
      <c r="CZ23">
        <f t="shared" ref="CZ23:CZ29" si="12">AE23</f>
        <v>206408.91</v>
      </c>
      <c r="DA23">
        <f t="shared" ref="DA23:DA29" si="13">AI23</f>
        <v>1</v>
      </c>
      <c r="DB23">
        <f t="shared" si="1"/>
        <v>458.23</v>
      </c>
      <c r="DC23">
        <f t="shared" si="2"/>
        <v>0</v>
      </c>
      <c r="DD23" t="s">
        <v>3</v>
      </c>
      <c r="DE23" t="s">
        <v>3</v>
      </c>
      <c r="DF23">
        <f t="shared" si="3"/>
        <v>14663.29</v>
      </c>
      <c r="DG23">
        <f t="shared" si="4"/>
        <v>0</v>
      </c>
      <c r="DH23">
        <f t="shared" si="5"/>
        <v>0</v>
      </c>
      <c r="DI23">
        <f t="shared" si="6"/>
        <v>0</v>
      </c>
      <c r="DJ23">
        <f t="shared" ref="DJ23:DJ29" si="14">DF23</f>
        <v>14663.29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ROW(Source!A39)</f>
        <v>39</v>
      </c>
      <c r="B24">
        <v>81141517</v>
      </c>
      <c r="C24">
        <v>81141691</v>
      </c>
      <c r="D24">
        <v>80214688</v>
      </c>
      <c r="E24">
        <v>1</v>
      </c>
      <c r="F24">
        <v>1</v>
      </c>
      <c r="G24">
        <v>15514512</v>
      </c>
      <c r="H24">
        <v>3</v>
      </c>
      <c r="I24" t="s">
        <v>305</v>
      </c>
      <c r="J24" t="s">
        <v>306</v>
      </c>
      <c r="K24" t="s">
        <v>307</v>
      </c>
      <c r="L24">
        <v>1354</v>
      </c>
      <c r="N24">
        <v>1010</v>
      </c>
      <c r="O24" t="s">
        <v>18</v>
      </c>
      <c r="P24" t="s">
        <v>18</v>
      </c>
      <c r="Q24">
        <v>1</v>
      </c>
      <c r="W24">
        <v>0</v>
      </c>
      <c r="X24">
        <v>48747201</v>
      </c>
      <c r="Y24">
        <f t="shared" si="0"/>
        <v>120</v>
      </c>
      <c r="AA24">
        <v>1.4</v>
      </c>
      <c r="AB24">
        <v>0</v>
      </c>
      <c r="AC24">
        <v>0</v>
      </c>
      <c r="AD24">
        <v>0</v>
      </c>
      <c r="AE24">
        <v>1.4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120</v>
      </c>
      <c r="AU24" t="s">
        <v>3</v>
      </c>
      <c r="AV24">
        <v>0</v>
      </c>
      <c r="AW24">
        <v>2</v>
      </c>
      <c r="AX24">
        <v>81141696</v>
      </c>
      <c r="AY24">
        <v>1</v>
      </c>
      <c r="AZ24">
        <v>0</v>
      </c>
      <c r="BA24">
        <v>17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ROUND(Y24*Source!I39,9)</f>
        <v>3840</v>
      </c>
      <c r="CY24">
        <f t="shared" si="11"/>
        <v>1.4</v>
      </c>
      <c r="CZ24">
        <f t="shared" si="12"/>
        <v>1.4</v>
      </c>
      <c r="DA24">
        <f t="shared" si="13"/>
        <v>1</v>
      </c>
      <c r="DB24">
        <f t="shared" si="1"/>
        <v>168</v>
      </c>
      <c r="DC24">
        <f t="shared" si="2"/>
        <v>0</v>
      </c>
      <c r="DD24" t="s">
        <v>3</v>
      </c>
      <c r="DE24" t="s">
        <v>3</v>
      </c>
      <c r="DF24">
        <f t="shared" si="3"/>
        <v>5376</v>
      </c>
      <c r="DG24">
        <f t="shared" si="4"/>
        <v>0</v>
      </c>
      <c r="DH24">
        <f t="shared" si="5"/>
        <v>0</v>
      </c>
      <c r="DI24">
        <f t="shared" si="6"/>
        <v>0</v>
      </c>
      <c r="DJ24">
        <f t="shared" si="14"/>
        <v>5376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ROW(Source!A39)</f>
        <v>39</v>
      </c>
      <c r="B25">
        <v>81141517</v>
      </c>
      <c r="C25">
        <v>81141691</v>
      </c>
      <c r="D25">
        <v>80219540</v>
      </c>
      <c r="E25">
        <v>1</v>
      </c>
      <c r="F25">
        <v>1</v>
      </c>
      <c r="G25">
        <v>15514512</v>
      </c>
      <c r="H25">
        <v>3</v>
      </c>
      <c r="I25" t="s">
        <v>308</v>
      </c>
      <c r="J25" t="s">
        <v>309</v>
      </c>
      <c r="K25" t="s">
        <v>310</v>
      </c>
      <c r="L25">
        <v>1301</v>
      </c>
      <c r="N25">
        <v>1003</v>
      </c>
      <c r="O25" t="s">
        <v>281</v>
      </c>
      <c r="P25" t="s">
        <v>281</v>
      </c>
      <c r="Q25">
        <v>1</v>
      </c>
      <c r="W25">
        <v>0</v>
      </c>
      <c r="X25">
        <v>1309474923</v>
      </c>
      <c r="Y25">
        <f t="shared" si="0"/>
        <v>102</v>
      </c>
      <c r="AA25">
        <v>20.21</v>
      </c>
      <c r="AB25">
        <v>0</v>
      </c>
      <c r="AC25">
        <v>0</v>
      </c>
      <c r="AD25">
        <v>0</v>
      </c>
      <c r="AE25">
        <v>20.21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102</v>
      </c>
      <c r="AU25" t="s">
        <v>3</v>
      </c>
      <c r="AV25">
        <v>0</v>
      </c>
      <c r="AW25">
        <v>2</v>
      </c>
      <c r="AX25">
        <v>81141697</v>
      </c>
      <c r="AY25">
        <v>1</v>
      </c>
      <c r="AZ25">
        <v>0</v>
      </c>
      <c r="BA25">
        <v>18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ROUND(Y25*Source!I39,9)</f>
        <v>3264</v>
      </c>
      <c r="CY25">
        <f t="shared" si="11"/>
        <v>20.21</v>
      </c>
      <c r="CZ25">
        <f t="shared" si="12"/>
        <v>20.21</v>
      </c>
      <c r="DA25">
        <f t="shared" si="13"/>
        <v>1</v>
      </c>
      <c r="DB25">
        <f t="shared" si="1"/>
        <v>2061.42</v>
      </c>
      <c r="DC25">
        <f t="shared" si="2"/>
        <v>0</v>
      </c>
      <c r="DD25" t="s">
        <v>3</v>
      </c>
      <c r="DE25" t="s">
        <v>3</v>
      </c>
      <c r="DF25">
        <f t="shared" si="3"/>
        <v>65965.440000000002</v>
      </c>
      <c r="DG25">
        <f t="shared" si="4"/>
        <v>0</v>
      </c>
      <c r="DH25">
        <f t="shared" si="5"/>
        <v>0</v>
      </c>
      <c r="DI25">
        <f t="shared" si="6"/>
        <v>0</v>
      </c>
      <c r="DJ25">
        <f t="shared" si="14"/>
        <v>65965.440000000002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ROW(Source!A39)</f>
        <v>39</v>
      </c>
      <c r="B26">
        <v>81141517</v>
      </c>
      <c r="C26">
        <v>81141691</v>
      </c>
      <c r="D26">
        <v>80222772</v>
      </c>
      <c r="E26">
        <v>1</v>
      </c>
      <c r="F26">
        <v>1</v>
      </c>
      <c r="G26">
        <v>15514512</v>
      </c>
      <c r="H26">
        <v>3</v>
      </c>
      <c r="I26" t="s">
        <v>311</v>
      </c>
      <c r="J26" t="s">
        <v>312</v>
      </c>
      <c r="K26" t="s">
        <v>313</v>
      </c>
      <c r="L26">
        <v>1355</v>
      </c>
      <c r="N26">
        <v>1010</v>
      </c>
      <c r="O26" t="s">
        <v>86</v>
      </c>
      <c r="P26" t="s">
        <v>86</v>
      </c>
      <c r="Q26">
        <v>100</v>
      </c>
      <c r="W26">
        <v>0</v>
      </c>
      <c r="X26">
        <v>461636772</v>
      </c>
      <c r="Y26">
        <f t="shared" si="0"/>
        <v>1</v>
      </c>
      <c r="AA26">
        <v>311.19</v>
      </c>
      <c r="AB26">
        <v>0</v>
      </c>
      <c r="AC26">
        <v>0</v>
      </c>
      <c r="AD26">
        <v>0</v>
      </c>
      <c r="AE26">
        <v>311.19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1</v>
      </c>
      <c r="AU26" t="s">
        <v>3</v>
      </c>
      <c r="AV26">
        <v>0</v>
      </c>
      <c r="AW26">
        <v>2</v>
      </c>
      <c r="AX26">
        <v>81141698</v>
      </c>
      <c r="AY26">
        <v>1</v>
      </c>
      <c r="AZ26">
        <v>0</v>
      </c>
      <c r="BA26">
        <v>19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ROUND(Y26*Source!I39,9)</f>
        <v>32</v>
      </c>
      <c r="CY26">
        <f t="shared" si="11"/>
        <v>311.19</v>
      </c>
      <c r="CZ26">
        <f t="shared" si="12"/>
        <v>311.19</v>
      </c>
      <c r="DA26">
        <f t="shared" si="13"/>
        <v>1</v>
      </c>
      <c r="DB26">
        <f t="shared" si="1"/>
        <v>311.19</v>
      </c>
      <c r="DC26">
        <f t="shared" si="2"/>
        <v>0</v>
      </c>
      <c r="DD26" t="s">
        <v>3</v>
      </c>
      <c r="DE26" t="s">
        <v>3</v>
      </c>
      <c r="DF26">
        <f t="shared" si="3"/>
        <v>9958.08</v>
      </c>
      <c r="DG26">
        <f t="shared" si="4"/>
        <v>0</v>
      </c>
      <c r="DH26">
        <f t="shared" si="5"/>
        <v>0</v>
      </c>
      <c r="DI26">
        <f t="shared" si="6"/>
        <v>0</v>
      </c>
      <c r="DJ26">
        <f t="shared" si="14"/>
        <v>9958.08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ROW(Source!A39)</f>
        <v>39</v>
      </c>
      <c r="B27">
        <v>81141517</v>
      </c>
      <c r="C27">
        <v>81141691</v>
      </c>
      <c r="D27">
        <v>80222494</v>
      </c>
      <c r="E27">
        <v>1</v>
      </c>
      <c r="F27">
        <v>1</v>
      </c>
      <c r="G27">
        <v>15514512</v>
      </c>
      <c r="H27">
        <v>3</v>
      </c>
      <c r="I27" t="s">
        <v>70</v>
      </c>
      <c r="J27" t="s">
        <v>72</v>
      </c>
      <c r="K27" t="s">
        <v>71</v>
      </c>
      <c r="L27">
        <v>1354</v>
      </c>
      <c r="N27">
        <v>1010</v>
      </c>
      <c r="O27" t="s">
        <v>18</v>
      </c>
      <c r="P27" t="s">
        <v>18</v>
      </c>
      <c r="Q27">
        <v>1</v>
      </c>
      <c r="W27">
        <v>1</v>
      </c>
      <c r="X27">
        <v>115426837</v>
      </c>
      <c r="Y27">
        <f t="shared" si="0"/>
        <v>-5</v>
      </c>
      <c r="AA27">
        <v>57.31</v>
      </c>
      <c r="AB27">
        <v>0</v>
      </c>
      <c r="AC27">
        <v>0</v>
      </c>
      <c r="AD27">
        <v>0</v>
      </c>
      <c r="AE27">
        <v>57.31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-5</v>
      </c>
      <c r="AU27" t="s">
        <v>3</v>
      </c>
      <c r="AV27">
        <v>0</v>
      </c>
      <c r="AW27">
        <v>2</v>
      </c>
      <c r="AX27">
        <v>81141699</v>
      </c>
      <c r="AY27">
        <v>1</v>
      </c>
      <c r="AZ27">
        <v>6144</v>
      </c>
      <c r="BA27">
        <v>20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ROUND(Y27*Source!I39,9)</f>
        <v>-160</v>
      </c>
      <c r="CY27">
        <f t="shared" si="11"/>
        <v>57.31</v>
      </c>
      <c r="CZ27">
        <f t="shared" si="12"/>
        <v>57.31</v>
      </c>
      <c r="DA27">
        <f t="shared" si="13"/>
        <v>1</v>
      </c>
      <c r="DB27">
        <f t="shared" si="1"/>
        <v>-286.55</v>
      </c>
      <c r="DC27">
        <f t="shared" si="2"/>
        <v>0</v>
      </c>
      <c r="DD27" t="s">
        <v>3</v>
      </c>
      <c r="DE27" t="s">
        <v>3</v>
      </c>
      <c r="DF27">
        <f t="shared" si="3"/>
        <v>-9169.6</v>
      </c>
      <c r="DG27">
        <f t="shared" si="4"/>
        <v>0</v>
      </c>
      <c r="DH27">
        <f t="shared" si="5"/>
        <v>0</v>
      </c>
      <c r="DI27">
        <f t="shared" si="6"/>
        <v>0</v>
      </c>
      <c r="DJ27">
        <f t="shared" si="14"/>
        <v>-9169.6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ROW(Source!A39)</f>
        <v>39</v>
      </c>
      <c r="B28">
        <v>81141517</v>
      </c>
      <c r="C28">
        <v>81141691</v>
      </c>
      <c r="D28">
        <v>80222519</v>
      </c>
      <c r="E28">
        <v>1</v>
      </c>
      <c r="F28">
        <v>1</v>
      </c>
      <c r="G28">
        <v>15514512</v>
      </c>
      <c r="H28">
        <v>3</v>
      </c>
      <c r="I28" t="s">
        <v>66</v>
      </c>
      <c r="J28" t="s">
        <v>68</v>
      </c>
      <c r="K28" t="s">
        <v>67</v>
      </c>
      <c r="L28">
        <v>1354</v>
      </c>
      <c r="N28">
        <v>1010</v>
      </c>
      <c r="O28" t="s">
        <v>18</v>
      </c>
      <c r="P28" t="s">
        <v>18</v>
      </c>
      <c r="Q28">
        <v>1</v>
      </c>
      <c r="W28">
        <v>0</v>
      </c>
      <c r="X28">
        <v>691857670</v>
      </c>
      <c r="Y28">
        <f t="shared" si="0"/>
        <v>28.125</v>
      </c>
      <c r="AA28">
        <v>471.57</v>
      </c>
      <c r="AB28">
        <v>0</v>
      </c>
      <c r="AC28">
        <v>0</v>
      </c>
      <c r="AD28">
        <v>0</v>
      </c>
      <c r="AE28">
        <v>471.57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 t="s">
        <v>3</v>
      </c>
      <c r="AT28">
        <v>28.125</v>
      </c>
      <c r="AU28" t="s">
        <v>3</v>
      </c>
      <c r="AV28">
        <v>0</v>
      </c>
      <c r="AW28">
        <v>1</v>
      </c>
      <c r="AX28">
        <v>-1</v>
      </c>
      <c r="AY28">
        <v>0</v>
      </c>
      <c r="AZ28">
        <v>0</v>
      </c>
      <c r="BA28" t="s">
        <v>3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ROUND(Y28*Source!I39,9)</f>
        <v>900</v>
      </c>
      <c r="CY28">
        <f t="shared" si="11"/>
        <v>471.57</v>
      </c>
      <c r="CZ28">
        <f t="shared" si="12"/>
        <v>471.57</v>
      </c>
      <c r="DA28">
        <f t="shared" si="13"/>
        <v>1</v>
      </c>
      <c r="DB28">
        <f t="shared" si="1"/>
        <v>13262.91</v>
      </c>
      <c r="DC28">
        <f t="shared" si="2"/>
        <v>0</v>
      </c>
      <c r="DD28" t="s">
        <v>3</v>
      </c>
      <c r="DE28" t="s">
        <v>3</v>
      </c>
      <c r="DF28">
        <f t="shared" si="3"/>
        <v>424413</v>
      </c>
      <c r="DG28">
        <f t="shared" si="4"/>
        <v>0</v>
      </c>
      <c r="DH28">
        <f t="shared" si="5"/>
        <v>0</v>
      </c>
      <c r="DI28">
        <f t="shared" si="6"/>
        <v>0</v>
      </c>
      <c r="DJ28">
        <f t="shared" si="14"/>
        <v>424413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ROW(Source!A39)</f>
        <v>39</v>
      </c>
      <c r="B29">
        <v>81141517</v>
      </c>
      <c r="C29">
        <v>81141691</v>
      </c>
      <c r="D29">
        <v>80217811</v>
      </c>
      <c r="E29">
        <v>1</v>
      </c>
      <c r="F29">
        <v>1</v>
      </c>
      <c r="G29">
        <v>15514512</v>
      </c>
      <c r="H29">
        <v>3</v>
      </c>
      <c r="I29" t="s">
        <v>314</v>
      </c>
      <c r="J29" t="s">
        <v>315</v>
      </c>
      <c r="K29" t="s">
        <v>316</v>
      </c>
      <c r="L29">
        <v>1354</v>
      </c>
      <c r="N29">
        <v>1010</v>
      </c>
      <c r="O29" t="s">
        <v>18</v>
      </c>
      <c r="P29" t="s">
        <v>18</v>
      </c>
      <c r="Q29">
        <v>1</v>
      </c>
      <c r="W29">
        <v>0</v>
      </c>
      <c r="X29">
        <v>-1751065174</v>
      </c>
      <c r="Y29">
        <f t="shared" si="0"/>
        <v>1.5</v>
      </c>
      <c r="AA29">
        <v>352.88</v>
      </c>
      <c r="AB29">
        <v>0</v>
      </c>
      <c r="AC29">
        <v>0</v>
      </c>
      <c r="AD29">
        <v>0</v>
      </c>
      <c r="AE29">
        <v>352.88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1.5</v>
      </c>
      <c r="AU29" t="s">
        <v>3</v>
      </c>
      <c r="AV29">
        <v>0</v>
      </c>
      <c r="AW29">
        <v>2</v>
      </c>
      <c r="AX29">
        <v>81141700</v>
      </c>
      <c r="AY29">
        <v>1</v>
      </c>
      <c r="AZ29">
        <v>0</v>
      </c>
      <c r="BA29">
        <v>21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ROUND(Y29*Source!I39,9)</f>
        <v>48</v>
      </c>
      <c r="CY29">
        <f t="shared" si="11"/>
        <v>352.88</v>
      </c>
      <c r="CZ29">
        <f t="shared" si="12"/>
        <v>352.88</v>
      </c>
      <c r="DA29">
        <f t="shared" si="13"/>
        <v>1</v>
      </c>
      <c r="DB29">
        <f t="shared" si="1"/>
        <v>529.32000000000005</v>
      </c>
      <c r="DC29">
        <f t="shared" si="2"/>
        <v>0</v>
      </c>
      <c r="DD29" t="s">
        <v>3</v>
      </c>
      <c r="DE29" t="s">
        <v>3</v>
      </c>
      <c r="DF29">
        <f t="shared" si="3"/>
        <v>16938.240000000002</v>
      </c>
      <c r="DG29">
        <f t="shared" si="4"/>
        <v>0</v>
      </c>
      <c r="DH29">
        <f t="shared" si="5"/>
        <v>0</v>
      </c>
      <c r="DI29">
        <f t="shared" si="6"/>
        <v>0</v>
      </c>
      <c r="DJ29">
        <f t="shared" si="14"/>
        <v>16938.240000000002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ROW(Source!A42)</f>
        <v>42</v>
      </c>
      <c r="B30">
        <v>81141517</v>
      </c>
      <c r="C30">
        <v>81141704</v>
      </c>
      <c r="D30">
        <v>80199986</v>
      </c>
      <c r="E30">
        <v>15514512</v>
      </c>
      <c r="F30">
        <v>1</v>
      </c>
      <c r="G30">
        <v>15514512</v>
      </c>
      <c r="H30">
        <v>1</v>
      </c>
      <c r="I30" t="s">
        <v>264</v>
      </c>
      <c r="J30" t="s">
        <v>3</v>
      </c>
      <c r="K30" t="s">
        <v>265</v>
      </c>
      <c r="L30">
        <v>1191</v>
      </c>
      <c r="N30">
        <v>1013</v>
      </c>
      <c r="O30" t="s">
        <v>266</v>
      </c>
      <c r="P30" t="s">
        <v>266</v>
      </c>
      <c r="Q30">
        <v>1</v>
      </c>
      <c r="W30">
        <v>0</v>
      </c>
      <c r="X30">
        <v>476480486</v>
      </c>
      <c r="Y30">
        <f t="shared" si="0"/>
        <v>8.2899999999999991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8.2899999999999991</v>
      </c>
      <c r="AU30" t="s">
        <v>3</v>
      </c>
      <c r="AV30">
        <v>1</v>
      </c>
      <c r="AW30">
        <v>2</v>
      </c>
      <c r="AX30">
        <v>81141705</v>
      </c>
      <c r="AY30">
        <v>1</v>
      </c>
      <c r="AZ30">
        <v>0</v>
      </c>
      <c r="BA30">
        <v>22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U30">
        <f>ROUND(AT30*Source!I42*AH30*AL30,2)</f>
        <v>0</v>
      </c>
      <c r="CV30">
        <f>ROUND(Y30*Source!I42,9)</f>
        <v>66.319999999999993</v>
      </c>
      <c r="CW30">
        <v>0</v>
      </c>
      <c r="CX30">
        <f>ROUND(Y30*Source!I42,9)</f>
        <v>66.319999999999993</v>
      </c>
      <c r="CY30">
        <f>AD30</f>
        <v>0</v>
      </c>
      <c r="CZ30">
        <f>AH30</f>
        <v>0</v>
      </c>
      <c r="DA30">
        <f>AL30</f>
        <v>1</v>
      </c>
      <c r="DB30">
        <f t="shared" si="1"/>
        <v>0</v>
      </c>
      <c r="DC30">
        <f t="shared" si="2"/>
        <v>0</v>
      </c>
      <c r="DD30" t="s">
        <v>3</v>
      </c>
      <c r="DE30" t="s">
        <v>3</v>
      </c>
      <c r="DF30">
        <f t="shared" si="3"/>
        <v>0</v>
      </c>
      <c r="DG30">
        <f t="shared" si="4"/>
        <v>0</v>
      </c>
      <c r="DH30">
        <f t="shared" si="5"/>
        <v>0</v>
      </c>
      <c r="DI30">
        <f t="shared" si="6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ROW(Source!A42)</f>
        <v>42</v>
      </c>
      <c r="B31">
        <v>81141517</v>
      </c>
      <c r="C31">
        <v>81141704</v>
      </c>
      <c r="D31">
        <v>0</v>
      </c>
      <c r="E31">
        <v>0</v>
      </c>
      <c r="F31">
        <v>1</v>
      </c>
      <c r="G31">
        <v>15514512</v>
      </c>
      <c r="H31">
        <v>3</v>
      </c>
      <c r="I31" t="s">
        <v>24</v>
      </c>
      <c r="J31" t="s">
        <v>3</v>
      </c>
      <c r="K31" t="s">
        <v>78</v>
      </c>
      <c r="L31">
        <v>2698</v>
      </c>
      <c r="N31">
        <v>1013</v>
      </c>
      <c r="O31" t="s">
        <v>59</v>
      </c>
      <c r="P31" t="s">
        <v>59</v>
      </c>
      <c r="Q31">
        <v>1</v>
      </c>
      <c r="W31">
        <v>0</v>
      </c>
      <c r="X31">
        <v>129704407</v>
      </c>
      <c r="Y31">
        <f t="shared" si="0"/>
        <v>100</v>
      </c>
      <c r="AA31">
        <v>381.08</v>
      </c>
      <c r="AB31">
        <v>0</v>
      </c>
      <c r="AC31">
        <v>0</v>
      </c>
      <c r="AD31">
        <v>0</v>
      </c>
      <c r="AE31">
        <v>381.08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0</v>
      </c>
      <c r="AN31">
        <v>0</v>
      </c>
      <c r="AO31">
        <v>0</v>
      </c>
      <c r="AP31">
        <v>1</v>
      </c>
      <c r="AQ31">
        <v>0</v>
      </c>
      <c r="AR31">
        <v>0</v>
      </c>
      <c r="AS31" t="s">
        <v>3</v>
      </c>
      <c r="AT31">
        <v>100</v>
      </c>
      <c r="AU31" t="s">
        <v>3</v>
      </c>
      <c r="AV31">
        <v>0</v>
      </c>
      <c r="AW31">
        <v>1</v>
      </c>
      <c r="AX31">
        <v>-1</v>
      </c>
      <c r="AY31">
        <v>0</v>
      </c>
      <c r="AZ31">
        <v>0</v>
      </c>
      <c r="BA31" t="s">
        <v>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ROUND(Y31*Source!I42,9)</f>
        <v>800</v>
      </c>
      <c r="CY31">
        <f>AA31</f>
        <v>381.08</v>
      </c>
      <c r="CZ31">
        <f>AE31</f>
        <v>381.08</v>
      </c>
      <c r="DA31">
        <f>AI31</f>
        <v>1</v>
      </c>
      <c r="DB31">
        <f t="shared" si="1"/>
        <v>38108</v>
      </c>
      <c r="DC31">
        <f t="shared" si="2"/>
        <v>0</v>
      </c>
      <c r="DD31" t="s">
        <v>3</v>
      </c>
      <c r="DE31" t="s">
        <v>3</v>
      </c>
      <c r="DF31">
        <f t="shared" si="3"/>
        <v>304864</v>
      </c>
      <c r="DG31">
        <f t="shared" si="4"/>
        <v>0</v>
      </c>
      <c r="DH31">
        <f t="shared" si="5"/>
        <v>0</v>
      </c>
      <c r="DI31">
        <f t="shared" si="6"/>
        <v>0</v>
      </c>
      <c r="DJ31">
        <f>DF31</f>
        <v>304864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ROW(Source!A42)</f>
        <v>42</v>
      </c>
      <c r="B32">
        <v>81141517</v>
      </c>
      <c r="C32">
        <v>81141704</v>
      </c>
      <c r="D32">
        <v>0</v>
      </c>
      <c r="E32">
        <v>0</v>
      </c>
      <c r="F32">
        <v>1</v>
      </c>
      <c r="G32">
        <v>15514512</v>
      </c>
      <c r="H32">
        <v>3</v>
      </c>
      <c r="I32" t="s">
        <v>24</v>
      </c>
      <c r="J32" t="s">
        <v>3</v>
      </c>
      <c r="K32" t="s">
        <v>81</v>
      </c>
      <c r="L32">
        <v>1354</v>
      </c>
      <c r="N32">
        <v>1010</v>
      </c>
      <c r="O32" t="s">
        <v>18</v>
      </c>
      <c r="P32" t="s">
        <v>18</v>
      </c>
      <c r="Q32">
        <v>1</v>
      </c>
      <c r="W32">
        <v>0</v>
      </c>
      <c r="X32">
        <v>1578297991</v>
      </c>
      <c r="Y32">
        <f t="shared" si="0"/>
        <v>3.75</v>
      </c>
      <c r="AA32">
        <v>772.52</v>
      </c>
      <c r="AB32">
        <v>0</v>
      </c>
      <c r="AC32">
        <v>0</v>
      </c>
      <c r="AD32">
        <v>0</v>
      </c>
      <c r="AE32">
        <v>772.52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0</v>
      </c>
      <c r="AN32">
        <v>0</v>
      </c>
      <c r="AO32">
        <v>0</v>
      </c>
      <c r="AP32">
        <v>1</v>
      </c>
      <c r="AQ32">
        <v>0</v>
      </c>
      <c r="AR32">
        <v>0</v>
      </c>
      <c r="AS32" t="s">
        <v>3</v>
      </c>
      <c r="AT32">
        <v>3.75</v>
      </c>
      <c r="AU32" t="s">
        <v>3</v>
      </c>
      <c r="AV32">
        <v>0</v>
      </c>
      <c r="AW32">
        <v>1</v>
      </c>
      <c r="AX32">
        <v>-1</v>
      </c>
      <c r="AY32">
        <v>0</v>
      </c>
      <c r="AZ32">
        <v>0</v>
      </c>
      <c r="BA32" t="s">
        <v>3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ROUND(Y32*Source!I42,9)</f>
        <v>30</v>
      </c>
      <c r="CY32">
        <f>AA32</f>
        <v>772.52</v>
      </c>
      <c r="CZ32">
        <f>AE32</f>
        <v>772.52</v>
      </c>
      <c r="DA32">
        <f>AI32</f>
        <v>1</v>
      </c>
      <c r="DB32">
        <f t="shared" si="1"/>
        <v>2896.95</v>
      </c>
      <c r="DC32">
        <f t="shared" si="2"/>
        <v>0</v>
      </c>
      <c r="DD32" t="s">
        <v>3</v>
      </c>
      <c r="DE32" t="s">
        <v>3</v>
      </c>
      <c r="DF32">
        <f t="shared" si="3"/>
        <v>23175.599999999999</v>
      </c>
      <c r="DG32">
        <f t="shared" si="4"/>
        <v>0</v>
      </c>
      <c r="DH32">
        <f t="shared" si="5"/>
        <v>0</v>
      </c>
      <c r="DI32">
        <f t="shared" si="6"/>
        <v>0</v>
      </c>
      <c r="DJ32">
        <f>DF32</f>
        <v>23175.599999999999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ROW(Source!A45)</f>
        <v>45</v>
      </c>
      <c r="B33">
        <v>81141517</v>
      </c>
      <c r="C33">
        <v>81141712</v>
      </c>
      <c r="D33">
        <v>80199986</v>
      </c>
      <c r="E33">
        <v>15514512</v>
      </c>
      <c r="F33">
        <v>1</v>
      </c>
      <c r="G33">
        <v>15514512</v>
      </c>
      <c r="H33">
        <v>1</v>
      </c>
      <c r="I33" t="s">
        <v>264</v>
      </c>
      <c r="J33" t="s">
        <v>3</v>
      </c>
      <c r="K33" t="s">
        <v>265</v>
      </c>
      <c r="L33">
        <v>1191</v>
      </c>
      <c r="N33">
        <v>1013</v>
      </c>
      <c r="O33" t="s">
        <v>266</v>
      </c>
      <c r="P33" t="s">
        <v>266</v>
      </c>
      <c r="Q33">
        <v>1</v>
      </c>
      <c r="W33">
        <v>0</v>
      </c>
      <c r="X33">
        <v>476480486</v>
      </c>
      <c r="Y33">
        <f t="shared" ref="Y33:Y64" si="15">AT33</f>
        <v>247.25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247.25</v>
      </c>
      <c r="AU33" t="s">
        <v>3</v>
      </c>
      <c r="AV33">
        <v>1</v>
      </c>
      <c r="AW33">
        <v>2</v>
      </c>
      <c r="AX33">
        <v>81141713</v>
      </c>
      <c r="AY33">
        <v>1</v>
      </c>
      <c r="AZ33">
        <v>0</v>
      </c>
      <c r="BA33">
        <v>23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U33">
        <f>ROUND(AT33*Source!I45*AH33*AL33,2)</f>
        <v>0</v>
      </c>
      <c r="CV33">
        <f>ROUND(Y33*Source!I45,9)</f>
        <v>222.52500000000001</v>
      </c>
      <c r="CW33">
        <v>0</v>
      </c>
      <c r="CX33">
        <f>ROUND(Y33*Source!I45,9)</f>
        <v>222.52500000000001</v>
      </c>
      <c r="CY33">
        <f>AD33</f>
        <v>0</v>
      </c>
      <c r="CZ33">
        <f>AH33</f>
        <v>0</v>
      </c>
      <c r="DA33">
        <f>AL33</f>
        <v>1</v>
      </c>
      <c r="DB33">
        <f t="shared" ref="DB33:DB64" si="16">ROUND(ROUND(AT33*CZ33,2),6)</f>
        <v>0</v>
      </c>
      <c r="DC33">
        <f t="shared" ref="DC33:DC64" si="17">ROUND(ROUND(AT33*AG33,2),6)</f>
        <v>0</v>
      </c>
      <c r="DD33" t="s">
        <v>3</v>
      </c>
      <c r="DE33" t="s">
        <v>3</v>
      </c>
      <c r="DF33">
        <f t="shared" ref="DF33:DF64" si="18">ROUND(ROUND(AE33,2)*CX33,2)</f>
        <v>0</v>
      </c>
      <c r="DG33">
        <f t="shared" ref="DG33:DG64" si="19">ROUND(ROUND(AF33,2)*CX33,2)</f>
        <v>0</v>
      </c>
      <c r="DH33">
        <f t="shared" ref="DH33:DH64" si="20">ROUND(ROUND(AG33,2)*CX33,2)</f>
        <v>0</v>
      </c>
      <c r="DI33">
        <f t="shared" ref="DI33:DI64" si="21">ROUND(ROUND(AH33,2)*CX33,2)</f>
        <v>0</v>
      </c>
      <c r="DJ33">
        <f>DI33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ROW(Source!A45)</f>
        <v>45</v>
      </c>
      <c r="B34">
        <v>81141517</v>
      </c>
      <c r="C34">
        <v>81141712</v>
      </c>
      <c r="D34">
        <v>80222665</v>
      </c>
      <c r="E34">
        <v>1</v>
      </c>
      <c r="F34">
        <v>1</v>
      </c>
      <c r="G34">
        <v>15514512</v>
      </c>
      <c r="H34">
        <v>3</v>
      </c>
      <c r="I34" t="s">
        <v>97</v>
      </c>
      <c r="J34" t="s">
        <v>99</v>
      </c>
      <c r="K34" t="s">
        <v>98</v>
      </c>
      <c r="L34">
        <v>1354</v>
      </c>
      <c r="N34">
        <v>1010</v>
      </c>
      <c r="O34" t="s">
        <v>18</v>
      </c>
      <c r="P34" t="s">
        <v>18</v>
      </c>
      <c r="Q34">
        <v>1</v>
      </c>
      <c r="W34">
        <v>0</v>
      </c>
      <c r="X34">
        <v>-816974938</v>
      </c>
      <c r="Y34">
        <f t="shared" si="15"/>
        <v>1.111111</v>
      </c>
      <c r="AA34">
        <v>695.83</v>
      </c>
      <c r="AB34">
        <v>0</v>
      </c>
      <c r="AC34">
        <v>0</v>
      </c>
      <c r="AD34">
        <v>0</v>
      </c>
      <c r="AE34">
        <v>695.83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 t="s">
        <v>3</v>
      </c>
      <c r="AT34">
        <v>1.111111</v>
      </c>
      <c r="AU34" t="s">
        <v>3</v>
      </c>
      <c r="AV34">
        <v>0</v>
      </c>
      <c r="AW34">
        <v>1</v>
      </c>
      <c r="AX34">
        <v>-1</v>
      </c>
      <c r="AY34">
        <v>0</v>
      </c>
      <c r="AZ34">
        <v>0</v>
      </c>
      <c r="BA34" t="s">
        <v>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ROUND(Y34*Source!I45,9)</f>
        <v>0.99999990000000005</v>
      </c>
      <c r="CY34">
        <f>AA34</f>
        <v>695.83</v>
      </c>
      <c r="CZ34">
        <f>AE34</f>
        <v>695.83</v>
      </c>
      <c r="DA34">
        <f>AI34</f>
        <v>1</v>
      </c>
      <c r="DB34">
        <f t="shared" si="16"/>
        <v>773.14</v>
      </c>
      <c r="DC34">
        <f t="shared" si="17"/>
        <v>0</v>
      </c>
      <c r="DD34" t="s">
        <v>3</v>
      </c>
      <c r="DE34" t="s">
        <v>3</v>
      </c>
      <c r="DF34">
        <f t="shared" si="18"/>
        <v>695.83</v>
      </c>
      <c r="DG34">
        <f t="shared" si="19"/>
        <v>0</v>
      </c>
      <c r="DH34">
        <f t="shared" si="20"/>
        <v>0</v>
      </c>
      <c r="DI34">
        <f t="shared" si="21"/>
        <v>0</v>
      </c>
      <c r="DJ34">
        <f>DF34</f>
        <v>695.83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ROW(Source!A45)</f>
        <v>45</v>
      </c>
      <c r="B35">
        <v>81141517</v>
      </c>
      <c r="C35">
        <v>81141712</v>
      </c>
      <c r="D35">
        <v>80222493</v>
      </c>
      <c r="E35">
        <v>1</v>
      </c>
      <c r="F35">
        <v>1</v>
      </c>
      <c r="G35">
        <v>15514512</v>
      </c>
      <c r="H35">
        <v>3</v>
      </c>
      <c r="I35" t="s">
        <v>101</v>
      </c>
      <c r="J35" t="s">
        <v>103</v>
      </c>
      <c r="K35" t="s">
        <v>102</v>
      </c>
      <c r="L35">
        <v>1354</v>
      </c>
      <c r="N35">
        <v>1010</v>
      </c>
      <c r="O35" t="s">
        <v>18</v>
      </c>
      <c r="P35" t="s">
        <v>18</v>
      </c>
      <c r="Q35">
        <v>1</v>
      </c>
      <c r="W35">
        <v>0</v>
      </c>
      <c r="X35">
        <v>-569902613</v>
      </c>
      <c r="Y35">
        <f t="shared" si="15"/>
        <v>1.111111</v>
      </c>
      <c r="AA35">
        <v>54070.58</v>
      </c>
      <c r="AB35">
        <v>0</v>
      </c>
      <c r="AC35">
        <v>0</v>
      </c>
      <c r="AD35">
        <v>0</v>
      </c>
      <c r="AE35">
        <v>54070.58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 t="s">
        <v>3</v>
      </c>
      <c r="AT35">
        <v>1.111111</v>
      </c>
      <c r="AU35" t="s">
        <v>3</v>
      </c>
      <c r="AV35">
        <v>0</v>
      </c>
      <c r="AW35">
        <v>1</v>
      </c>
      <c r="AX35">
        <v>-1</v>
      </c>
      <c r="AY35">
        <v>0</v>
      </c>
      <c r="AZ35">
        <v>0</v>
      </c>
      <c r="BA35" t="s">
        <v>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ROUND(Y35*Source!I45,9)</f>
        <v>0.99999990000000005</v>
      </c>
      <c r="CY35">
        <f>AA35</f>
        <v>54070.58</v>
      </c>
      <c r="CZ35">
        <f>AE35</f>
        <v>54070.58</v>
      </c>
      <c r="DA35">
        <f>AI35</f>
        <v>1</v>
      </c>
      <c r="DB35">
        <f t="shared" si="16"/>
        <v>60078.42</v>
      </c>
      <c r="DC35">
        <f t="shared" si="17"/>
        <v>0</v>
      </c>
      <c r="DD35" t="s">
        <v>3</v>
      </c>
      <c r="DE35" t="s">
        <v>3</v>
      </c>
      <c r="DF35">
        <f t="shared" si="18"/>
        <v>54070.57</v>
      </c>
      <c r="DG35">
        <f t="shared" si="19"/>
        <v>0</v>
      </c>
      <c r="DH35">
        <f t="shared" si="20"/>
        <v>0</v>
      </c>
      <c r="DI35">
        <f t="shared" si="21"/>
        <v>0</v>
      </c>
      <c r="DJ35">
        <f>DF35</f>
        <v>54070.57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ROW(Source!A45)</f>
        <v>45</v>
      </c>
      <c r="B36">
        <v>81141517</v>
      </c>
      <c r="C36">
        <v>81141712</v>
      </c>
      <c r="D36">
        <v>0</v>
      </c>
      <c r="E36">
        <v>0</v>
      </c>
      <c r="F36">
        <v>1</v>
      </c>
      <c r="G36">
        <v>15514512</v>
      </c>
      <c r="H36">
        <v>3</v>
      </c>
      <c r="I36" t="s">
        <v>24</v>
      </c>
      <c r="J36" t="s">
        <v>3</v>
      </c>
      <c r="K36" t="s">
        <v>89</v>
      </c>
      <c r="L36">
        <v>1354</v>
      </c>
      <c r="N36">
        <v>1010</v>
      </c>
      <c r="O36" t="s">
        <v>18</v>
      </c>
      <c r="P36" t="s">
        <v>18</v>
      </c>
      <c r="Q36">
        <v>1</v>
      </c>
      <c r="W36">
        <v>0</v>
      </c>
      <c r="X36">
        <v>-1432749690</v>
      </c>
      <c r="Y36">
        <f t="shared" si="15"/>
        <v>17.777778000000001</v>
      </c>
      <c r="AA36">
        <v>535.59</v>
      </c>
      <c r="AB36">
        <v>0</v>
      </c>
      <c r="AC36">
        <v>0</v>
      </c>
      <c r="AD36">
        <v>0</v>
      </c>
      <c r="AE36">
        <v>535.59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0</v>
      </c>
      <c r="AN36">
        <v>0</v>
      </c>
      <c r="AO36">
        <v>0</v>
      </c>
      <c r="AP36">
        <v>1</v>
      </c>
      <c r="AQ36">
        <v>0</v>
      </c>
      <c r="AR36">
        <v>0</v>
      </c>
      <c r="AS36" t="s">
        <v>3</v>
      </c>
      <c r="AT36">
        <v>17.777778000000001</v>
      </c>
      <c r="AU36" t="s">
        <v>3</v>
      </c>
      <c r="AV36">
        <v>0</v>
      </c>
      <c r="AW36">
        <v>1</v>
      </c>
      <c r="AX36">
        <v>-1</v>
      </c>
      <c r="AY36">
        <v>0</v>
      </c>
      <c r="AZ36">
        <v>0</v>
      </c>
      <c r="BA36" t="s">
        <v>3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ROUND(Y36*Source!I45,9)</f>
        <v>16.000000199999999</v>
      </c>
      <c r="CY36">
        <f>AA36</f>
        <v>535.59</v>
      </c>
      <c r="CZ36">
        <f>AE36</f>
        <v>535.59</v>
      </c>
      <c r="DA36">
        <f>AI36</f>
        <v>1</v>
      </c>
      <c r="DB36">
        <f t="shared" si="16"/>
        <v>9521.6</v>
      </c>
      <c r="DC36">
        <f t="shared" si="17"/>
        <v>0</v>
      </c>
      <c r="DD36" t="s">
        <v>3</v>
      </c>
      <c r="DE36" t="s">
        <v>3</v>
      </c>
      <c r="DF36">
        <f t="shared" si="18"/>
        <v>8569.44</v>
      </c>
      <c r="DG36">
        <f t="shared" si="19"/>
        <v>0</v>
      </c>
      <c r="DH36">
        <f t="shared" si="20"/>
        <v>0</v>
      </c>
      <c r="DI36">
        <f t="shared" si="21"/>
        <v>0</v>
      </c>
      <c r="DJ36">
        <f>DF36</f>
        <v>8569.44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ROW(Source!A45)</f>
        <v>45</v>
      </c>
      <c r="B37">
        <v>81141517</v>
      </c>
      <c r="C37">
        <v>81141712</v>
      </c>
      <c r="D37">
        <v>0</v>
      </c>
      <c r="E37">
        <v>15514512</v>
      </c>
      <c r="F37">
        <v>1</v>
      </c>
      <c r="G37">
        <v>15514512</v>
      </c>
      <c r="H37">
        <v>3</v>
      </c>
      <c r="I37" t="s">
        <v>24</v>
      </c>
      <c r="J37" t="s">
        <v>3</v>
      </c>
      <c r="K37" t="s">
        <v>92</v>
      </c>
      <c r="L37">
        <v>1354</v>
      </c>
      <c r="N37">
        <v>1010</v>
      </c>
      <c r="O37" t="s">
        <v>18</v>
      </c>
      <c r="P37" t="s">
        <v>18</v>
      </c>
      <c r="Q37">
        <v>1</v>
      </c>
      <c r="W37">
        <v>0</v>
      </c>
      <c r="X37">
        <v>-191325540</v>
      </c>
      <c r="Y37">
        <f t="shared" si="15"/>
        <v>82.222222000000002</v>
      </c>
      <c r="AA37">
        <v>535.59</v>
      </c>
      <c r="AB37">
        <v>0</v>
      </c>
      <c r="AC37">
        <v>0</v>
      </c>
      <c r="AD37">
        <v>0</v>
      </c>
      <c r="AE37">
        <v>535.59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 t="s">
        <v>3</v>
      </c>
      <c r="AT37">
        <v>82.222222000000002</v>
      </c>
      <c r="AU37" t="s">
        <v>3</v>
      </c>
      <c r="AV37">
        <v>0</v>
      </c>
      <c r="AW37">
        <v>1</v>
      </c>
      <c r="AX37">
        <v>-1</v>
      </c>
      <c r="AY37">
        <v>0</v>
      </c>
      <c r="AZ37">
        <v>0</v>
      </c>
      <c r="BA37" t="s">
        <v>3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ROUND(Y37*Source!I45,9)</f>
        <v>73.999999799999998</v>
      </c>
      <c r="CY37">
        <f>AA37</f>
        <v>535.59</v>
      </c>
      <c r="CZ37">
        <f>AE37</f>
        <v>535.59</v>
      </c>
      <c r="DA37">
        <f>AI37</f>
        <v>1</v>
      </c>
      <c r="DB37">
        <f t="shared" si="16"/>
        <v>44037.4</v>
      </c>
      <c r="DC37">
        <f t="shared" si="17"/>
        <v>0</v>
      </c>
      <c r="DD37" t="s">
        <v>3</v>
      </c>
      <c r="DE37" t="s">
        <v>3</v>
      </c>
      <c r="DF37">
        <f t="shared" si="18"/>
        <v>39633.660000000003</v>
      </c>
      <c r="DG37">
        <f t="shared" si="19"/>
        <v>0</v>
      </c>
      <c r="DH37">
        <f t="shared" si="20"/>
        <v>0</v>
      </c>
      <c r="DI37">
        <f t="shared" si="21"/>
        <v>0</v>
      </c>
      <c r="DJ37">
        <f>DF37</f>
        <v>39633.660000000003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ROW(Source!A45)</f>
        <v>45</v>
      </c>
      <c r="B38">
        <v>81141517</v>
      </c>
      <c r="C38">
        <v>81141712</v>
      </c>
      <c r="D38">
        <v>0</v>
      </c>
      <c r="E38">
        <v>15514512</v>
      </c>
      <c r="F38">
        <v>1</v>
      </c>
      <c r="G38">
        <v>15514512</v>
      </c>
      <c r="H38">
        <v>3</v>
      </c>
      <c r="I38" t="s">
        <v>24</v>
      </c>
      <c r="J38" t="s">
        <v>3</v>
      </c>
      <c r="K38" t="s">
        <v>94</v>
      </c>
      <c r="L38">
        <v>1354</v>
      </c>
      <c r="N38">
        <v>1010</v>
      </c>
      <c r="O38" t="s">
        <v>18</v>
      </c>
      <c r="P38" t="s">
        <v>18</v>
      </c>
      <c r="Q38">
        <v>1</v>
      </c>
      <c r="W38">
        <v>0</v>
      </c>
      <c r="X38">
        <v>-2131730029</v>
      </c>
      <c r="Y38">
        <f t="shared" si="15"/>
        <v>111.11111099999999</v>
      </c>
      <c r="AA38">
        <v>175.18</v>
      </c>
      <c r="AB38">
        <v>0</v>
      </c>
      <c r="AC38">
        <v>0</v>
      </c>
      <c r="AD38">
        <v>0</v>
      </c>
      <c r="AE38">
        <v>175.18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 t="s">
        <v>3</v>
      </c>
      <c r="AT38">
        <v>111.11111099999999</v>
      </c>
      <c r="AU38" t="s">
        <v>3</v>
      </c>
      <c r="AV38">
        <v>0</v>
      </c>
      <c r="AW38">
        <v>1</v>
      </c>
      <c r="AX38">
        <v>-1</v>
      </c>
      <c r="AY38">
        <v>0</v>
      </c>
      <c r="AZ38">
        <v>0</v>
      </c>
      <c r="BA38" t="s">
        <v>3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ROUND(Y38*Source!I45,9)</f>
        <v>99.999999900000006</v>
      </c>
      <c r="CY38">
        <f>AA38</f>
        <v>175.18</v>
      </c>
      <c r="CZ38">
        <f>AE38</f>
        <v>175.18</v>
      </c>
      <c r="DA38">
        <f>AI38</f>
        <v>1</v>
      </c>
      <c r="DB38">
        <f t="shared" si="16"/>
        <v>19464.439999999999</v>
      </c>
      <c r="DC38">
        <f t="shared" si="17"/>
        <v>0</v>
      </c>
      <c r="DD38" t="s">
        <v>3</v>
      </c>
      <c r="DE38" t="s">
        <v>3</v>
      </c>
      <c r="DF38">
        <f t="shared" si="18"/>
        <v>17518</v>
      </c>
      <c r="DG38">
        <f t="shared" si="19"/>
        <v>0</v>
      </c>
      <c r="DH38">
        <f t="shared" si="20"/>
        <v>0</v>
      </c>
      <c r="DI38">
        <f t="shared" si="21"/>
        <v>0</v>
      </c>
      <c r="DJ38">
        <f>DF38</f>
        <v>17518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ROW(Source!A51)</f>
        <v>51</v>
      </c>
      <c r="B39">
        <v>81141517</v>
      </c>
      <c r="C39">
        <v>81141729</v>
      </c>
      <c r="D39">
        <v>80199986</v>
      </c>
      <c r="E39">
        <v>15514512</v>
      </c>
      <c r="F39">
        <v>1</v>
      </c>
      <c r="G39">
        <v>15514512</v>
      </c>
      <c r="H39">
        <v>1</v>
      </c>
      <c r="I39" t="s">
        <v>264</v>
      </c>
      <c r="J39" t="s">
        <v>3</v>
      </c>
      <c r="K39" t="s">
        <v>265</v>
      </c>
      <c r="L39">
        <v>1191</v>
      </c>
      <c r="N39">
        <v>1013</v>
      </c>
      <c r="O39" t="s">
        <v>266</v>
      </c>
      <c r="P39" t="s">
        <v>266</v>
      </c>
      <c r="Q39">
        <v>1</v>
      </c>
      <c r="W39">
        <v>0</v>
      </c>
      <c r="X39">
        <v>476480486</v>
      </c>
      <c r="Y39">
        <f t="shared" si="15"/>
        <v>1.18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1.18</v>
      </c>
      <c r="AU39" t="s">
        <v>3</v>
      </c>
      <c r="AV39">
        <v>1</v>
      </c>
      <c r="AW39">
        <v>2</v>
      </c>
      <c r="AX39">
        <v>81141734</v>
      </c>
      <c r="AY39">
        <v>1</v>
      </c>
      <c r="AZ39">
        <v>0</v>
      </c>
      <c r="BA39">
        <v>24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U39">
        <f>ROUND(AT39*Source!I51*AH39*AL39,2)</f>
        <v>0</v>
      </c>
      <c r="CV39">
        <f>ROUND(Y39*Source!I51,9)</f>
        <v>29.5</v>
      </c>
      <c r="CW39">
        <v>0</v>
      </c>
      <c r="CX39">
        <f>ROUND(Y39*Source!I51,9)</f>
        <v>29.5</v>
      </c>
      <c r="CY39">
        <f>AD39</f>
        <v>0</v>
      </c>
      <c r="CZ39">
        <f>AH39</f>
        <v>0</v>
      </c>
      <c r="DA39">
        <f>AL39</f>
        <v>1</v>
      </c>
      <c r="DB39">
        <f t="shared" si="16"/>
        <v>0</v>
      </c>
      <c r="DC39">
        <f t="shared" si="17"/>
        <v>0</v>
      </c>
      <c r="DD39" t="s">
        <v>3</v>
      </c>
      <c r="DE39" t="s">
        <v>3</v>
      </c>
      <c r="DF39">
        <f t="shared" si="18"/>
        <v>0</v>
      </c>
      <c r="DG39">
        <f t="shared" si="19"/>
        <v>0</v>
      </c>
      <c r="DH39">
        <f t="shared" si="20"/>
        <v>0</v>
      </c>
      <c r="DI39">
        <f t="shared" si="21"/>
        <v>0</v>
      </c>
      <c r="DJ39">
        <f>DI39</f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ROW(Source!A51)</f>
        <v>51</v>
      </c>
      <c r="B40">
        <v>81141517</v>
      </c>
      <c r="C40">
        <v>81141729</v>
      </c>
      <c r="D40">
        <v>0</v>
      </c>
      <c r="E40">
        <v>0</v>
      </c>
      <c r="F40">
        <v>1</v>
      </c>
      <c r="G40">
        <v>15514512</v>
      </c>
      <c r="H40">
        <v>3</v>
      </c>
      <c r="I40" t="s">
        <v>24</v>
      </c>
      <c r="J40" t="s">
        <v>3</v>
      </c>
      <c r="K40" t="s">
        <v>109</v>
      </c>
      <c r="L40">
        <v>1354</v>
      </c>
      <c r="N40">
        <v>1010</v>
      </c>
      <c r="O40" t="s">
        <v>18</v>
      </c>
      <c r="P40" t="s">
        <v>18</v>
      </c>
      <c r="Q40">
        <v>1</v>
      </c>
      <c r="W40">
        <v>0</v>
      </c>
      <c r="X40">
        <v>-1706615642</v>
      </c>
      <c r="Y40">
        <f t="shared" si="15"/>
        <v>1</v>
      </c>
      <c r="AA40">
        <v>906.39</v>
      </c>
      <c r="AB40">
        <v>0</v>
      </c>
      <c r="AC40">
        <v>0</v>
      </c>
      <c r="AD40">
        <v>0</v>
      </c>
      <c r="AE40">
        <v>906.39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0</v>
      </c>
      <c r="AN40">
        <v>0</v>
      </c>
      <c r="AO40">
        <v>0</v>
      </c>
      <c r="AP40">
        <v>1</v>
      </c>
      <c r="AQ40">
        <v>0</v>
      </c>
      <c r="AR40">
        <v>0</v>
      </c>
      <c r="AS40" t="s">
        <v>3</v>
      </c>
      <c r="AT40">
        <v>1</v>
      </c>
      <c r="AU40" t="s">
        <v>3</v>
      </c>
      <c r="AV40">
        <v>0</v>
      </c>
      <c r="AW40">
        <v>1</v>
      </c>
      <c r="AX40">
        <v>-1</v>
      </c>
      <c r="AY40">
        <v>0</v>
      </c>
      <c r="AZ40">
        <v>0</v>
      </c>
      <c r="BA40" t="s">
        <v>3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ROUND(Y40*Source!I51,9)</f>
        <v>25</v>
      </c>
      <c r="CY40">
        <f>AA40</f>
        <v>906.39</v>
      </c>
      <c r="CZ40">
        <f>AE40</f>
        <v>906.39</v>
      </c>
      <c r="DA40">
        <f>AI40</f>
        <v>1</v>
      </c>
      <c r="DB40">
        <f t="shared" si="16"/>
        <v>906.39</v>
      </c>
      <c r="DC40">
        <f t="shared" si="17"/>
        <v>0</v>
      </c>
      <c r="DD40" t="s">
        <v>3</v>
      </c>
      <c r="DE40" t="s">
        <v>3</v>
      </c>
      <c r="DF40">
        <f t="shared" si="18"/>
        <v>22659.75</v>
      </c>
      <c r="DG40">
        <f t="shared" si="19"/>
        <v>0</v>
      </c>
      <c r="DH40">
        <f t="shared" si="20"/>
        <v>0</v>
      </c>
      <c r="DI40">
        <f t="shared" si="21"/>
        <v>0</v>
      </c>
      <c r="DJ40">
        <f>DF40</f>
        <v>22659.75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ROW(Source!A51)</f>
        <v>51</v>
      </c>
      <c r="B41">
        <v>81141517</v>
      </c>
      <c r="C41">
        <v>81141729</v>
      </c>
      <c r="D41">
        <v>0</v>
      </c>
      <c r="E41">
        <v>0</v>
      </c>
      <c r="F41">
        <v>1</v>
      </c>
      <c r="G41">
        <v>15514512</v>
      </c>
      <c r="H41">
        <v>3</v>
      </c>
      <c r="I41" t="s">
        <v>24</v>
      </c>
      <c r="J41" t="s">
        <v>3</v>
      </c>
      <c r="K41" t="s">
        <v>112</v>
      </c>
      <c r="L41">
        <v>1354</v>
      </c>
      <c r="N41">
        <v>1010</v>
      </c>
      <c r="O41" t="s">
        <v>18</v>
      </c>
      <c r="P41" t="s">
        <v>18</v>
      </c>
      <c r="Q41">
        <v>1</v>
      </c>
      <c r="W41">
        <v>0</v>
      </c>
      <c r="X41">
        <v>-584541272</v>
      </c>
      <c r="Y41">
        <f t="shared" si="15"/>
        <v>4</v>
      </c>
      <c r="AA41">
        <v>370.8</v>
      </c>
      <c r="AB41">
        <v>0</v>
      </c>
      <c r="AC41">
        <v>0</v>
      </c>
      <c r="AD41">
        <v>0</v>
      </c>
      <c r="AE41">
        <v>370.8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0</v>
      </c>
      <c r="AN41">
        <v>0</v>
      </c>
      <c r="AO41">
        <v>0</v>
      </c>
      <c r="AP41">
        <v>1</v>
      </c>
      <c r="AQ41">
        <v>0</v>
      </c>
      <c r="AR41">
        <v>0</v>
      </c>
      <c r="AS41" t="s">
        <v>3</v>
      </c>
      <c r="AT41">
        <v>4</v>
      </c>
      <c r="AU41" t="s">
        <v>3</v>
      </c>
      <c r="AV41">
        <v>0</v>
      </c>
      <c r="AW41">
        <v>1</v>
      </c>
      <c r="AX41">
        <v>-1</v>
      </c>
      <c r="AY41">
        <v>0</v>
      </c>
      <c r="AZ41">
        <v>0</v>
      </c>
      <c r="BA41" t="s">
        <v>3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ROUND(Y41*Source!I51,9)</f>
        <v>100</v>
      </c>
      <c r="CY41">
        <f>AA41</f>
        <v>370.8</v>
      </c>
      <c r="CZ41">
        <f>AE41</f>
        <v>370.8</v>
      </c>
      <c r="DA41">
        <f>AI41</f>
        <v>1</v>
      </c>
      <c r="DB41">
        <f t="shared" si="16"/>
        <v>1483.2</v>
      </c>
      <c r="DC41">
        <f t="shared" si="17"/>
        <v>0</v>
      </c>
      <c r="DD41" t="s">
        <v>3</v>
      </c>
      <c r="DE41" t="s">
        <v>3</v>
      </c>
      <c r="DF41">
        <f t="shared" si="18"/>
        <v>37080</v>
      </c>
      <c r="DG41">
        <f t="shared" si="19"/>
        <v>0</v>
      </c>
      <c r="DH41">
        <f t="shared" si="20"/>
        <v>0</v>
      </c>
      <c r="DI41">
        <f t="shared" si="21"/>
        <v>0</v>
      </c>
      <c r="DJ41">
        <f>DF41</f>
        <v>37080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ROW(Source!A54)</f>
        <v>54</v>
      </c>
      <c r="B42">
        <v>81141517</v>
      </c>
      <c r="C42">
        <v>81141743</v>
      </c>
      <c r="D42">
        <v>80199986</v>
      </c>
      <c r="E42">
        <v>15514512</v>
      </c>
      <c r="F42">
        <v>1</v>
      </c>
      <c r="G42">
        <v>15514512</v>
      </c>
      <c r="H42">
        <v>1</v>
      </c>
      <c r="I42" t="s">
        <v>264</v>
      </c>
      <c r="J42" t="s">
        <v>3</v>
      </c>
      <c r="K42" t="s">
        <v>265</v>
      </c>
      <c r="L42">
        <v>1191</v>
      </c>
      <c r="N42">
        <v>1013</v>
      </c>
      <c r="O42" t="s">
        <v>266</v>
      </c>
      <c r="P42" t="s">
        <v>266</v>
      </c>
      <c r="Q42">
        <v>1</v>
      </c>
      <c r="W42">
        <v>0</v>
      </c>
      <c r="X42">
        <v>476480486</v>
      </c>
      <c r="Y42">
        <f t="shared" si="15"/>
        <v>20.7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20.7</v>
      </c>
      <c r="AU42" t="s">
        <v>3</v>
      </c>
      <c r="AV42">
        <v>1</v>
      </c>
      <c r="AW42">
        <v>2</v>
      </c>
      <c r="AX42">
        <v>81141744</v>
      </c>
      <c r="AY42">
        <v>1</v>
      </c>
      <c r="AZ42">
        <v>0</v>
      </c>
      <c r="BA42">
        <v>25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ROUND(AT42*Source!I54*AH42*AL42,2)</f>
        <v>0</v>
      </c>
      <c r="CV42">
        <f>ROUND(Y42*Source!I54,9)</f>
        <v>3.726</v>
      </c>
      <c r="CW42">
        <v>0</v>
      </c>
      <c r="CX42">
        <f>ROUND(Y42*Source!I54,9)</f>
        <v>3.726</v>
      </c>
      <c r="CY42">
        <f>AD42</f>
        <v>0</v>
      </c>
      <c r="CZ42">
        <f>AH42</f>
        <v>0</v>
      </c>
      <c r="DA42">
        <f>AL42</f>
        <v>1</v>
      </c>
      <c r="DB42">
        <f t="shared" si="16"/>
        <v>0</v>
      </c>
      <c r="DC42">
        <f t="shared" si="17"/>
        <v>0</v>
      </c>
      <c r="DD42" t="s">
        <v>3</v>
      </c>
      <c r="DE42" t="s">
        <v>3</v>
      </c>
      <c r="DF42">
        <f t="shared" si="18"/>
        <v>0</v>
      </c>
      <c r="DG42">
        <f t="shared" si="19"/>
        <v>0</v>
      </c>
      <c r="DH42">
        <f t="shared" si="20"/>
        <v>0</v>
      </c>
      <c r="DI42">
        <f t="shared" si="21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ROW(Source!A54)</f>
        <v>54</v>
      </c>
      <c r="B43">
        <v>81141517</v>
      </c>
      <c r="C43">
        <v>81141743</v>
      </c>
      <c r="D43">
        <v>80212737</v>
      </c>
      <c r="E43">
        <v>1</v>
      </c>
      <c r="F43">
        <v>1</v>
      </c>
      <c r="G43">
        <v>15514512</v>
      </c>
      <c r="H43">
        <v>2</v>
      </c>
      <c r="I43" t="s">
        <v>317</v>
      </c>
      <c r="J43" t="s">
        <v>318</v>
      </c>
      <c r="K43" t="s">
        <v>319</v>
      </c>
      <c r="L43">
        <v>1368</v>
      </c>
      <c r="N43">
        <v>1011</v>
      </c>
      <c r="O43" t="s">
        <v>270</v>
      </c>
      <c r="P43" t="s">
        <v>270</v>
      </c>
      <c r="Q43">
        <v>1</v>
      </c>
      <c r="W43">
        <v>0</v>
      </c>
      <c r="X43">
        <v>-322320849</v>
      </c>
      <c r="Y43">
        <f t="shared" si="15"/>
        <v>7.5</v>
      </c>
      <c r="AA43">
        <v>0</v>
      </c>
      <c r="AB43">
        <v>3309.74</v>
      </c>
      <c r="AC43">
        <v>1151.8800000000001</v>
      </c>
      <c r="AD43">
        <v>0</v>
      </c>
      <c r="AE43">
        <v>0</v>
      </c>
      <c r="AF43">
        <v>3309.74</v>
      </c>
      <c r="AG43">
        <v>1151.8800000000001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7.5</v>
      </c>
      <c r="AU43" t="s">
        <v>3</v>
      </c>
      <c r="AV43">
        <v>0</v>
      </c>
      <c r="AW43">
        <v>2</v>
      </c>
      <c r="AX43">
        <v>81141745</v>
      </c>
      <c r="AY43">
        <v>1</v>
      </c>
      <c r="AZ43">
        <v>0</v>
      </c>
      <c r="BA43">
        <v>26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f>ROUND(Y43*Source!I54*DO43,9)</f>
        <v>0</v>
      </c>
      <c r="CX43">
        <f>ROUND(Y43*Source!I54,9)</f>
        <v>1.35</v>
      </c>
      <c r="CY43">
        <f>AB43</f>
        <v>3309.74</v>
      </c>
      <c r="CZ43">
        <f>AF43</f>
        <v>3309.74</v>
      </c>
      <c r="DA43">
        <f>AJ43</f>
        <v>1</v>
      </c>
      <c r="DB43">
        <f t="shared" si="16"/>
        <v>24823.05</v>
      </c>
      <c r="DC43">
        <f t="shared" si="17"/>
        <v>8639.1</v>
      </c>
      <c r="DD43" t="s">
        <v>3</v>
      </c>
      <c r="DE43" t="s">
        <v>3</v>
      </c>
      <c r="DF43">
        <f t="shared" si="18"/>
        <v>0</v>
      </c>
      <c r="DG43">
        <f t="shared" si="19"/>
        <v>4468.1499999999996</v>
      </c>
      <c r="DH43">
        <f t="shared" si="20"/>
        <v>1555.04</v>
      </c>
      <c r="DI43">
        <f t="shared" si="21"/>
        <v>0</v>
      </c>
      <c r="DJ43">
        <f>DG43</f>
        <v>4468.1499999999996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ROW(Source!A54)</f>
        <v>54</v>
      </c>
      <c r="B44">
        <v>81141517</v>
      </c>
      <c r="C44">
        <v>81141743</v>
      </c>
      <c r="D44">
        <v>0</v>
      </c>
      <c r="E44">
        <v>0</v>
      </c>
      <c r="F44">
        <v>1</v>
      </c>
      <c r="G44">
        <v>15514512</v>
      </c>
      <c r="H44">
        <v>3</v>
      </c>
      <c r="I44" t="s">
        <v>24</v>
      </c>
      <c r="J44" t="s">
        <v>3</v>
      </c>
      <c r="K44" t="s">
        <v>119</v>
      </c>
      <c r="L44">
        <v>2698</v>
      </c>
      <c r="N44">
        <v>1013</v>
      </c>
      <c r="O44" t="s">
        <v>59</v>
      </c>
      <c r="P44" t="s">
        <v>59</v>
      </c>
      <c r="Q44">
        <v>1</v>
      </c>
      <c r="W44">
        <v>0</v>
      </c>
      <c r="X44">
        <v>-1984333979</v>
      </c>
      <c r="Y44">
        <f t="shared" si="15"/>
        <v>100</v>
      </c>
      <c r="AA44">
        <v>52529.98</v>
      </c>
      <c r="AB44">
        <v>0</v>
      </c>
      <c r="AC44">
        <v>0</v>
      </c>
      <c r="AD44">
        <v>0</v>
      </c>
      <c r="AE44">
        <v>52529.98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0</v>
      </c>
      <c r="AN44">
        <v>0</v>
      </c>
      <c r="AO44">
        <v>0</v>
      </c>
      <c r="AP44">
        <v>1</v>
      </c>
      <c r="AQ44">
        <v>0</v>
      </c>
      <c r="AR44">
        <v>0</v>
      </c>
      <c r="AS44" t="s">
        <v>3</v>
      </c>
      <c r="AT44">
        <v>100</v>
      </c>
      <c r="AU44" t="s">
        <v>3</v>
      </c>
      <c r="AV44">
        <v>0</v>
      </c>
      <c r="AW44">
        <v>1</v>
      </c>
      <c r="AX44">
        <v>-1</v>
      </c>
      <c r="AY44">
        <v>0</v>
      </c>
      <c r="AZ44">
        <v>0</v>
      </c>
      <c r="BA44" t="s">
        <v>3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ROUND(Y44*Source!I54,9)</f>
        <v>18</v>
      </c>
      <c r="CY44">
        <f>AA44</f>
        <v>52529.98</v>
      </c>
      <c r="CZ44">
        <f>AE44</f>
        <v>52529.98</v>
      </c>
      <c r="DA44">
        <f>AI44</f>
        <v>1</v>
      </c>
      <c r="DB44">
        <f t="shared" si="16"/>
        <v>5252998</v>
      </c>
      <c r="DC44">
        <f t="shared" si="17"/>
        <v>0</v>
      </c>
      <c r="DD44" t="s">
        <v>3</v>
      </c>
      <c r="DE44" t="s">
        <v>3</v>
      </c>
      <c r="DF44">
        <f t="shared" si="18"/>
        <v>945539.64</v>
      </c>
      <c r="DG44">
        <f t="shared" si="19"/>
        <v>0</v>
      </c>
      <c r="DH44">
        <f t="shared" si="20"/>
        <v>0</v>
      </c>
      <c r="DI44">
        <f t="shared" si="21"/>
        <v>0</v>
      </c>
      <c r="DJ44">
        <f>DF44</f>
        <v>945539.64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ROW(Source!A56)</f>
        <v>56</v>
      </c>
      <c r="B45">
        <v>81141517</v>
      </c>
      <c r="C45">
        <v>81141750</v>
      </c>
      <c r="D45">
        <v>80199986</v>
      </c>
      <c r="E45">
        <v>15514512</v>
      </c>
      <c r="F45">
        <v>1</v>
      </c>
      <c r="G45">
        <v>15514512</v>
      </c>
      <c r="H45">
        <v>1</v>
      </c>
      <c r="I45" t="s">
        <v>264</v>
      </c>
      <c r="J45" t="s">
        <v>3</v>
      </c>
      <c r="K45" t="s">
        <v>265</v>
      </c>
      <c r="L45">
        <v>1191</v>
      </c>
      <c r="N45">
        <v>1013</v>
      </c>
      <c r="O45" t="s">
        <v>266</v>
      </c>
      <c r="P45" t="s">
        <v>266</v>
      </c>
      <c r="Q45">
        <v>1</v>
      </c>
      <c r="W45">
        <v>0</v>
      </c>
      <c r="X45">
        <v>476480486</v>
      </c>
      <c r="Y45">
        <f t="shared" si="15"/>
        <v>20.7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20.7</v>
      </c>
      <c r="AU45" t="s">
        <v>3</v>
      </c>
      <c r="AV45">
        <v>1</v>
      </c>
      <c r="AW45">
        <v>2</v>
      </c>
      <c r="AX45">
        <v>81141751</v>
      </c>
      <c r="AY45">
        <v>1</v>
      </c>
      <c r="AZ45">
        <v>0</v>
      </c>
      <c r="BA45">
        <v>27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U45">
        <f>ROUND(AT45*Source!I56*AH45*AL45,2)</f>
        <v>0</v>
      </c>
      <c r="CV45">
        <f>ROUND(Y45*Source!I56,9)</f>
        <v>2.8980000000000001</v>
      </c>
      <c r="CW45">
        <v>0</v>
      </c>
      <c r="CX45">
        <f>ROUND(Y45*Source!I56,9)</f>
        <v>2.8980000000000001</v>
      </c>
      <c r="CY45">
        <f>AD45</f>
        <v>0</v>
      </c>
      <c r="CZ45">
        <f>AH45</f>
        <v>0</v>
      </c>
      <c r="DA45">
        <f>AL45</f>
        <v>1</v>
      </c>
      <c r="DB45">
        <f t="shared" si="16"/>
        <v>0</v>
      </c>
      <c r="DC45">
        <f t="shared" si="17"/>
        <v>0</v>
      </c>
      <c r="DD45" t="s">
        <v>3</v>
      </c>
      <c r="DE45" t="s">
        <v>3</v>
      </c>
      <c r="DF45">
        <f t="shared" si="18"/>
        <v>0</v>
      </c>
      <c r="DG45">
        <f t="shared" si="19"/>
        <v>0</v>
      </c>
      <c r="DH45">
        <f t="shared" si="20"/>
        <v>0</v>
      </c>
      <c r="DI45">
        <f t="shared" si="21"/>
        <v>0</v>
      </c>
      <c r="DJ45">
        <f>DI45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ROW(Source!A56)</f>
        <v>56</v>
      </c>
      <c r="B46">
        <v>81141517</v>
      </c>
      <c r="C46">
        <v>81141750</v>
      </c>
      <c r="D46">
        <v>80212737</v>
      </c>
      <c r="E46">
        <v>1</v>
      </c>
      <c r="F46">
        <v>1</v>
      </c>
      <c r="G46">
        <v>15514512</v>
      </c>
      <c r="H46">
        <v>2</v>
      </c>
      <c r="I46" t="s">
        <v>317</v>
      </c>
      <c r="J46" t="s">
        <v>318</v>
      </c>
      <c r="K46" t="s">
        <v>319</v>
      </c>
      <c r="L46">
        <v>1368</v>
      </c>
      <c r="N46">
        <v>1011</v>
      </c>
      <c r="O46" t="s">
        <v>270</v>
      </c>
      <c r="P46" t="s">
        <v>270</v>
      </c>
      <c r="Q46">
        <v>1</v>
      </c>
      <c r="W46">
        <v>0</v>
      </c>
      <c r="X46">
        <v>-322320849</v>
      </c>
      <c r="Y46">
        <f t="shared" si="15"/>
        <v>7.5</v>
      </c>
      <c r="AA46">
        <v>0</v>
      </c>
      <c r="AB46">
        <v>3309.74</v>
      </c>
      <c r="AC46">
        <v>1151.8800000000001</v>
      </c>
      <c r="AD46">
        <v>0</v>
      </c>
      <c r="AE46">
        <v>0</v>
      </c>
      <c r="AF46">
        <v>3309.74</v>
      </c>
      <c r="AG46">
        <v>1151.8800000000001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7.5</v>
      </c>
      <c r="AU46" t="s">
        <v>3</v>
      </c>
      <c r="AV46">
        <v>0</v>
      </c>
      <c r="AW46">
        <v>2</v>
      </c>
      <c r="AX46">
        <v>81141752</v>
      </c>
      <c r="AY46">
        <v>1</v>
      </c>
      <c r="AZ46">
        <v>0</v>
      </c>
      <c r="BA46">
        <v>28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f>ROUND(Y46*Source!I56*DO46,9)</f>
        <v>0</v>
      </c>
      <c r="CX46">
        <f>ROUND(Y46*Source!I56,9)</f>
        <v>1.05</v>
      </c>
      <c r="CY46">
        <f>AB46</f>
        <v>3309.74</v>
      </c>
      <c r="CZ46">
        <f>AF46</f>
        <v>3309.74</v>
      </c>
      <c r="DA46">
        <f>AJ46</f>
        <v>1</v>
      </c>
      <c r="DB46">
        <f t="shared" si="16"/>
        <v>24823.05</v>
      </c>
      <c r="DC46">
        <f t="shared" si="17"/>
        <v>8639.1</v>
      </c>
      <c r="DD46" t="s">
        <v>3</v>
      </c>
      <c r="DE46" t="s">
        <v>3</v>
      </c>
      <c r="DF46">
        <f t="shared" si="18"/>
        <v>0</v>
      </c>
      <c r="DG46">
        <f t="shared" si="19"/>
        <v>3475.23</v>
      </c>
      <c r="DH46">
        <f t="shared" si="20"/>
        <v>1209.47</v>
      </c>
      <c r="DI46">
        <f t="shared" si="21"/>
        <v>0</v>
      </c>
      <c r="DJ46">
        <f>DG46</f>
        <v>3475.23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ROW(Source!A56)</f>
        <v>56</v>
      </c>
      <c r="B47">
        <v>81141517</v>
      </c>
      <c r="C47">
        <v>81141750</v>
      </c>
      <c r="D47">
        <v>0</v>
      </c>
      <c r="E47">
        <v>0</v>
      </c>
      <c r="F47">
        <v>1</v>
      </c>
      <c r="G47">
        <v>15514512</v>
      </c>
      <c r="H47">
        <v>3</v>
      </c>
      <c r="I47" t="s">
        <v>24</v>
      </c>
      <c r="J47" t="s">
        <v>3</v>
      </c>
      <c r="K47" t="s">
        <v>124</v>
      </c>
      <c r="L47">
        <v>0</v>
      </c>
      <c r="W47">
        <v>0</v>
      </c>
      <c r="X47">
        <v>-630770242</v>
      </c>
      <c r="Y47">
        <f t="shared" si="15"/>
        <v>100</v>
      </c>
      <c r="AA47">
        <v>1424.5</v>
      </c>
      <c r="AB47">
        <v>0</v>
      </c>
      <c r="AC47">
        <v>0</v>
      </c>
      <c r="AD47">
        <v>0</v>
      </c>
      <c r="AE47">
        <v>1424.5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0</v>
      </c>
      <c r="AN47">
        <v>0</v>
      </c>
      <c r="AO47">
        <v>0</v>
      </c>
      <c r="AP47">
        <v>1</v>
      </c>
      <c r="AQ47">
        <v>0</v>
      </c>
      <c r="AR47">
        <v>0</v>
      </c>
      <c r="AS47" t="s">
        <v>3</v>
      </c>
      <c r="AT47">
        <v>100</v>
      </c>
      <c r="AU47" t="s">
        <v>3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ROUND(Y47*Source!I56,9)</f>
        <v>14</v>
      </c>
      <c r="CY47">
        <f>AA47</f>
        <v>1424.5</v>
      </c>
      <c r="CZ47">
        <f>AE47</f>
        <v>1424.5</v>
      </c>
      <c r="DA47">
        <f>AI47</f>
        <v>1</v>
      </c>
      <c r="DB47">
        <f t="shared" si="16"/>
        <v>142450</v>
      </c>
      <c r="DC47">
        <f t="shared" si="17"/>
        <v>0</v>
      </c>
      <c r="DD47" t="s">
        <v>3</v>
      </c>
      <c r="DE47" t="s">
        <v>3</v>
      </c>
      <c r="DF47">
        <f t="shared" si="18"/>
        <v>19943</v>
      </c>
      <c r="DG47">
        <f t="shared" si="19"/>
        <v>0</v>
      </c>
      <c r="DH47">
        <f t="shared" si="20"/>
        <v>0</v>
      </c>
      <c r="DI47">
        <f t="shared" si="21"/>
        <v>0</v>
      </c>
      <c r="DJ47">
        <f>DF47</f>
        <v>19943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ROW(Source!A58)</f>
        <v>58</v>
      </c>
      <c r="B48">
        <v>81141517</v>
      </c>
      <c r="C48">
        <v>81141756</v>
      </c>
      <c r="D48">
        <v>80199986</v>
      </c>
      <c r="E48">
        <v>15514512</v>
      </c>
      <c r="F48">
        <v>1</v>
      </c>
      <c r="G48">
        <v>15514512</v>
      </c>
      <c r="H48">
        <v>1</v>
      </c>
      <c r="I48" t="s">
        <v>264</v>
      </c>
      <c r="J48" t="s">
        <v>3</v>
      </c>
      <c r="K48" t="s">
        <v>265</v>
      </c>
      <c r="L48">
        <v>1191</v>
      </c>
      <c r="N48">
        <v>1013</v>
      </c>
      <c r="O48" t="s">
        <v>266</v>
      </c>
      <c r="P48" t="s">
        <v>266</v>
      </c>
      <c r="Q48">
        <v>1</v>
      </c>
      <c r="W48">
        <v>0</v>
      </c>
      <c r="X48">
        <v>476480486</v>
      </c>
      <c r="Y48">
        <f t="shared" si="15"/>
        <v>1.18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1.18</v>
      </c>
      <c r="AU48" t="s">
        <v>3</v>
      </c>
      <c r="AV48">
        <v>1</v>
      </c>
      <c r="AW48">
        <v>2</v>
      </c>
      <c r="AX48">
        <v>81141763</v>
      </c>
      <c r="AY48">
        <v>1</v>
      </c>
      <c r="AZ48">
        <v>0</v>
      </c>
      <c r="BA48">
        <v>29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U48">
        <f>ROUND(AT48*Source!I58*AH48*AL48,2)</f>
        <v>0</v>
      </c>
      <c r="CV48">
        <f>ROUND(Y48*Source!I58,9)</f>
        <v>94.4</v>
      </c>
      <c r="CW48">
        <v>0</v>
      </c>
      <c r="CX48">
        <f>ROUND(Y48*Source!I58,9)</f>
        <v>94.4</v>
      </c>
      <c r="CY48">
        <f>AD48</f>
        <v>0</v>
      </c>
      <c r="CZ48">
        <f>AH48</f>
        <v>0</v>
      </c>
      <c r="DA48">
        <f>AL48</f>
        <v>1</v>
      </c>
      <c r="DB48">
        <f t="shared" si="16"/>
        <v>0</v>
      </c>
      <c r="DC48">
        <f t="shared" si="17"/>
        <v>0</v>
      </c>
      <c r="DD48" t="s">
        <v>3</v>
      </c>
      <c r="DE48" t="s">
        <v>3</v>
      </c>
      <c r="DF48">
        <f t="shared" si="18"/>
        <v>0</v>
      </c>
      <c r="DG48">
        <f t="shared" si="19"/>
        <v>0</v>
      </c>
      <c r="DH48">
        <f t="shared" si="20"/>
        <v>0</v>
      </c>
      <c r="DI48">
        <f t="shared" si="21"/>
        <v>0</v>
      </c>
      <c r="DJ48">
        <f>DI48</f>
        <v>0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ROW(Source!A58)</f>
        <v>58</v>
      </c>
      <c r="B49">
        <v>81141517</v>
      </c>
      <c r="C49">
        <v>81141756</v>
      </c>
      <c r="D49">
        <v>0</v>
      </c>
      <c r="E49">
        <v>0</v>
      </c>
      <c r="F49">
        <v>1</v>
      </c>
      <c r="G49">
        <v>15514512</v>
      </c>
      <c r="H49">
        <v>3</v>
      </c>
      <c r="I49" t="s">
        <v>24</v>
      </c>
      <c r="J49" t="s">
        <v>3</v>
      </c>
      <c r="K49" t="s">
        <v>129</v>
      </c>
      <c r="L49">
        <v>1354</v>
      </c>
      <c r="N49">
        <v>1010</v>
      </c>
      <c r="O49" t="s">
        <v>18</v>
      </c>
      <c r="P49" t="s">
        <v>18</v>
      </c>
      <c r="Q49">
        <v>1</v>
      </c>
      <c r="W49">
        <v>0</v>
      </c>
      <c r="X49">
        <v>-1367185952</v>
      </c>
      <c r="Y49">
        <f t="shared" si="15"/>
        <v>1</v>
      </c>
      <c r="AA49">
        <v>13580.55</v>
      </c>
      <c r="AB49">
        <v>0</v>
      </c>
      <c r="AC49">
        <v>0</v>
      </c>
      <c r="AD49">
        <v>0</v>
      </c>
      <c r="AE49">
        <v>13580.55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0</v>
      </c>
      <c r="AN49">
        <v>0</v>
      </c>
      <c r="AO49">
        <v>0</v>
      </c>
      <c r="AP49">
        <v>1</v>
      </c>
      <c r="AQ49">
        <v>0</v>
      </c>
      <c r="AR49">
        <v>0</v>
      </c>
      <c r="AS49" t="s">
        <v>3</v>
      </c>
      <c r="AT49">
        <v>1</v>
      </c>
      <c r="AU49" t="s">
        <v>3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3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ROUND(Y49*Source!I58,9)</f>
        <v>80</v>
      </c>
      <c r="CY49">
        <f>AA49</f>
        <v>13580.55</v>
      </c>
      <c r="CZ49">
        <f>AE49</f>
        <v>13580.55</v>
      </c>
      <c r="DA49">
        <f>AI49</f>
        <v>1</v>
      </c>
      <c r="DB49">
        <f t="shared" si="16"/>
        <v>13580.55</v>
      </c>
      <c r="DC49">
        <f t="shared" si="17"/>
        <v>0</v>
      </c>
      <c r="DD49" t="s">
        <v>3</v>
      </c>
      <c r="DE49" t="s">
        <v>3</v>
      </c>
      <c r="DF49">
        <f t="shared" si="18"/>
        <v>1086444</v>
      </c>
      <c r="DG49">
        <f t="shared" si="19"/>
        <v>0</v>
      </c>
      <c r="DH49">
        <f t="shared" si="20"/>
        <v>0</v>
      </c>
      <c r="DI49">
        <f t="shared" si="21"/>
        <v>0</v>
      </c>
      <c r="DJ49">
        <f>DF49</f>
        <v>1086444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ROW(Source!A60)</f>
        <v>60</v>
      </c>
      <c r="B50">
        <v>81141517</v>
      </c>
      <c r="C50">
        <v>81141774</v>
      </c>
      <c r="D50">
        <v>80199986</v>
      </c>
      <c r="E50">
        <v>15514512</v>
      </c>
      <c r="F50">
        <v>1</v>
      </c>
      <c r="G50">
        <v>15514512</v>
      </c>
      <c r="H50">
        <v>1</v>
      </c>
      <c r="I50" t="s">
        <v>264</v>
      </c>
      <c r="J50" t="s">
        <v>3</v>
      </c>
      <c r="K50" t="s">
        <v>265</v>
      </c>
      <c r="L50">
        <v>1191</v>
      </c>
      <c r="N50">
        <v>1013</v>
      </c>
      <c r="O50" t="s">
        <v>266</v>
      </c>
      <c r="P50" t="s">
        <v>266</v>
      </c>
      <c r="Q50">
        <v>1</v>
      </c>
      <c r="W50">
        <v>0</v>
      </c>
      <c r="X50">
        <v>476480486</v>
      </c>
      <c r="Y50">
        <f t="shared" si="15"/>
        <v>379.5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379.5</v>
      </c>
      <c r="AU50" t="s">
        <v>3</v>
      </c>
      <c r="AV50">
        <v>1</v>
      </c>
      <c r="AW50">
        <v>2</v>
      </c>
      <c r="AX50">
        <v>81141775</v>
      </c>
      <c r="AY50">
        <v>1</v>
      </c>
      <c r="AZ50">
        <v>0</v>
      </c>
      <c r="BA50">
        <v>30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U50">
        <f>ROUND(AT50*Source!I60*AH50*AL50,2)</f>
        <v>0</v>
      </c>
      <c r="CV50">
        <f>ROUND(Y50*Source!I60,9)</f>
        <v>60.72</v>
      </c>
      <c r="CW50">
        <v>0</v>
      </c>
      <c r="CX50">
        <f>ROUND(Y50*Source!I60,9)</f>
        <v>60.72</v>
      </c>
      <c r="CY50">
        <f>AD50</f>
        <v>0</v>
      </c>
      <c r="CZ50">
        <f>AH50</f>
        <v>0</v>
      </c>
      <c r="DA50">
        <f>AL50</f>
        <v>1</v>
      </c>
      <c r="DB50">
        <f t="shared" si="16"/>
        <v>0</v>
      </c>
      <c r="DC50">
        <f t="shared" si="17"/>
        <v>0</v>
      </c>
      <c r="DD50" t="s">
        <v>3</v>
      </c>
      <c r="DE50" t="s">
        <v>3</v>
      </c>
      <c r="DF50">
        <f t="shared" si="18"/>
        <v>0</v>
      </c>
      <c r="DG50">
        <f t="shared" si="19"/>
        <v>0</v>
      </c>
      <c r="DH50">
        <f t="shared" si="20"/>
        <v>0</v>
      </c>
      <c r="DI50">
        <f t="shared" si="21"/>
        <v>0</v>
      </c>
      <c r="DJ50">
        <f>DI50</f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ROW(Source!A60)</f>
        <v>60</v>
      </c>
      <c r="B51">
        <v>81141517</v>
      </c>
      <c r="C51">
        <v>81141774</v>
      </c>
      <c r="D51">
        <v>80213010</v>
      </c>
      <c r="E51">
        <v>1</v>
      </c>
      <c r="F51">
        <v>1</v>
      </c>
      <c r="G51">
        <v>15514512</v>
      </c>
      <c r="H51">
        <v>2</v>
      </c>
      <c r="I51" t="s">
        <v>267</v>
      </c>
      <c r="J51" t="s">
        <v>268</v>
      </c>
      <c r="K51" t="s">
        <v>269</v>
      </c>
      <c r="L51">
        <v>1368</v>
      </c>
      <c r="N51">
        <v>1011</v>
      </c>
      <c r="O51" t="s">
        <v>270</v>
      </c>
      <c r="P51" t="s">
        <v>270</v>
      </c>
      <c r="Q51">
        <v>1</v>
      </c>
      <c r="W51">
        <v>0</v>
      </c>
      <c r="X51">
        <v>-1120917231</v>
      </c>
      <c r="Y51">
        <f t="shared" si="15"/>
        <v>14.38</v>
      </c>
      <c r="AA51">
        <v>0</v>
      </c>
      <c r="AB51">
        <v>441.32</v>
      </c>
      <c r="AC51">
        <v>1.36</v>
      </c>
      <c r="AD51">
        <v>0</v>
      </c>
      <c r="AE51">
        <v>0</v>
      </c>
      <c r="AF51">
        <v>441.32</v>
      </c>
      <c r="AG51">
        <v>1.36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14.38</v>
      </c>
      <c r="AU51" t="s">
        <v>3</v>
      </c>
      <c r="AV51">
        <v>0</v>
      </c>
      <c r="AW51">
        <v>2</v>
      </c>
      <c r="AX51">
        <v>81141776</v>
      </c>
      <c r="AY51">
        <v>1</v>
      </c>
      <c r="AZ51">
        <v>0</v>
      </c>
      <c r="BA51">
        <v>31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f>ROUND(Y51*Source!I60*DO51,9)</f>
        <v>0</v>
      </c>
      <c r="CX51">
        <f>ROUND(Y51*Source!I60,9)</f>
        <v>2.3008000000000002</v>
      </c>
      <c r="CY51">
        <f>AB51</f>
        <v>441.32</v>
      </c>
      <c r="CZ51">
        <f>AF51</f>
        <v>441.32</v>
      </c>
      <c r="DA51">
        <f>AJ51</f>
        <v>1</v>
      </c>
      <c r="DB51">
        <f t="shared" si="16"/>
        <v>6346.18</v>
      </c>
      <c r="DC51">
        <f t="shared" si="17"/>
        <v>19.559999999999999</v>
      </c>
      <c r="DD51" t="s">
        <v>3</v>
      </c>
      <c r="DE51" t="s">
        <v>3</v>
      </c>
      <c r="DF51">
        <f t="shared" si="18"/>
        <v>0</v>
      </c>
      <c r="DG51">
        <f t="shared" si="19"/>
        <v>1015.39</v>
      </c>
      <c r="DH51">
        <f t="shared" si="20"/>
        <v>3.13</v>
      </c>
      <c r="DI51">
        <f t="shared" si="21"/>
        <v>0</v>
      </c>
      <c r="DJ51">
        <f>DG51</f>
        <v>1015.39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ROW(Source!A60)</f>
        <v>60</v>
      </c>
      <c r="B52">
        <v>81141517</v>
      </c>
      <c r="C52">
        <v>81141774</v>
      </c>
      <c r="D52">
        <v>80212735</v>
      </c>
      <c r="E52">
        <v>1</v>
      </c>
      <c r="F52">
        <v>1</v>
      </c>
      <c r="G52">
        <v>15514512</v>
      </c>
      <c r="H52">
        <v>2</v>
      </c>
      <c r="I52" t="s">
        <v>271</v>
      </c>
      <c r="J52" t="s">
        <v>272</v>
      </c>
      <c r="K52" t="s">
        <v>273</v>
      </c>
      <c r="L52">
        <v>1368</v>
      </c>
      <c r="N52">
        <v>1011</v>
      </c>
      <c r="O52" t="s">
        <v>270</v>
      </c>
      <c r="P52" t="s">
        <v>270</v>
      </c>
      <c r="Q52">
        <v>1</v>
      </c>
      <c r="W52">
        <v>0</v>
      </c>
      <c r="X52">
        <v>421484037</v>
      </c>
      <c r="Y52">
        <f t="shared" si="15"/>
        <v>168.75</v>
      </c>
      <c r="AA52">
        <v>0</v>
      </c>
      <c r="AB52">
        <v>1994.58</v>
      </c>
      <c r="AC52">
        <v>1007.74</v>
      </c>
      <c r="AD52">
        <v>0</v>
      </c>
      <c r="AE52">
        <v>0</v>
      </c>
      <c r="AF52">
        <v>1994.58</v>
      </c>
      <c r="AG52">
        <v>1007.74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168.75</v>
      </c>
      <c r="AU52" t="s">
        <v>3</v>
      </c>
      <c r="AV52">
        <v>0</v>
      </c>
      <c r="AW52">
        <v>2</v>
      </c>
      <c r="AX52">
        <v>81141777</v>
      </c>
      <c r="AY52">
        <v>1</v>
      </c>
      <c r="AZ52">
        <v>0</v>
      </c>
      <c r="BA52">
        <v>32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f>ROUND(Y52*Source!I60*DO52,9)</f>
        <v>0</v>
      </c>
      <c r="CX52">
        <f>ROUND(Y52*Source!I60,9)</f>
        <v>27</v>
      </c>
      <c r="CY52">
        <f>AB52</f>
        <v>1994.58</v>
      </c>
      <c r="CZ52">
        <f>AF52</f>
        <v>1994.58</v>
      </c>
      <c r="DA52">
        <f>AJ52</f>
        <v>1</v>
      </c>
      <c r="DB52">
        <f t="shared" si="16"/>
        <v>336585.38</v>
      </c>
      <c r="DC52">
        <f t="shared" si="17"/>
        <v>170056.13</v>
      </c>
      <c r="DD52" t="s">
        <v>3</v>
      </c>
      <c r="DE52" t="s">
        <v>3</v>
      </c>
      <c r="DF52">
        <f t="shared" si="18"/>
        <v>0</v>
      </c>
      <c r="DG52">
        <f t="shared" si="19"/>
        <v>53853.66</v>
      </c>
      <c r="DH52">
        <f t="shared" si="20"/>
        <v>27208.98</v>
      </c>
      <c r="DI52">
        <f t="shared" si="21"/>
        <v>0</v>
      </c>
      <c r="DJ52">
        <f>DG52</f>
        <v>53853.66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ROW(Source!A60)</f>
        <v>60</v>
      </c>
      <c r="B53">
        <v>81141517</v>
      </c>
      <c r="C53">
        <v>81141774</v>
      </c>
      <c r="D53">
        <v>80222584</v>
      </c>
      <c r="E53">
        <v>1</v>
      </c>
      <c r="F53">
        <v>1</v>
      </c>
      <c r="G53">
        <v>15514512</v>
      </c>
      <c r="H53">
        <v>3</v>
      </c>
      <c r="I53" t="s">
        <v>152</v>
      </c>
      <c r="J53" t="s">
        <v>155</v>
      </c>
      <c r="K53" t="s">
        <v>153</v>
      </c>
      <c r="L53">
        <v>1035</v>
      </c>
      <c r="N53">
        <v>1013</v>
      </c>
      <c r="O53" t="s">
        <v>154</v>
      </c>
      <c r="P53" t="s">
        <v>154</v>
      </c>
      <c r="Q53">
        <v>1</v>
      </c>
      <c r="W53">
        <v>0</v>
      </c>
      <c r="X53">
        <v>1806748537</v>
      </c>
      <c r="Y53">
        <f t="shared" si="15"/>
        <v>200</v>
      </c>
      <c r="AA53">
        <v>7737.81</v>
      </c>
      <c r="AB53">
        <v>0</v>
      </c>
      <c r="AC53">
        <v>0</v>
      </c>
      <c r="AD53">
        <v>0</v>
      </c>
      <c r="AE53">
        <v>7737.81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 t="s">
        <v>3</v>
      </c>
      <c r="AT53">
        <v>200</v>
      </c>
      <c r="AU53" t="s">
        <v>3</v>
      </c>
      <c r="AV53">
        <v>0</v>
      </c>
      <c r="AW53">
        <v>1</v>
      </c>
      <c r="AX53">
        <v>-1</v>
      </c>
      <c r="AY53">
        <v>0</v>
      </c>
      <c r="AZ53">
        <v>0</v>
      </c>
      <c r="BA53" t="s">
        <v>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ROUND(Y53*Source!I60,9)</f>
        <v>32</v>
      </c>
      <c r="CY53">
        <f t="shared" ref="CY53:CY58" si="22">AA53</f>
        <v>7737.81</v>
      </c>
      <c r="CZ53">
        <f t="shared" ref="CZ53:CZ58" si="23">AE53</f>
        <v>7737.81</v>
      </c>
      <c r="DA53">
        <f t="shared" ref="DA53:DA58" si="24">AI53</f>
        <v>1</v>
      </c>
      <c r="DB53">
        <f t="shared" si="16"/>
        <v>1547562</v>
      </c>
      <c r="DC53">
        <f t="shared" si="17"/>
        <v>0</v>
      </c>
      <c r="DD53" t="s">
        <v>3</v>
      </c>
      <c r="DE53" t="s">
        <v>3</v>
      </c>
      <c r="DF53">
        <f t="shared" si="18"/>
        <v>247609.92</v>
      </c>
      <c r="DG53">
        <f t="shared" si="19"/>
        <v>0</v>
      </c>
      <c r="DH53">
        <f t="shared" si="20"/>
        <v>0</v>
      </c>
      <c r="DI53">
        <f t="shared" si="21"/>
        <v>0</v>
      </c>
      <c r="DJ53">
        <f t="shared" ref="DJ53:DJ58" si="25">DF53</f>
        <v>247609.92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ROW(Source!A60)</f>
        <v>60</v>
      </c>
      <c r="B54">
        <v>81141517</v>
      </c>
      <c r="C54">
        <v>81141774</v>
      </c>
      <c r="D54">
        <v>80222704</v>
      </c>
      <c r="E54">
        <v>1</v>
      </c>
      <c r="F54">
        <v>1</v>
      </c>
      <c r="G54">
        <v>15514512</v>
      </c>
      <c r="H54">
        <v>3</v>
      </c>
      <c r="I54" t="s">
        <v>136</v>
      </c>
      <c r="J54" t="s">
        <v>138</v>
      </c>
      <c r="K54" t="s">
        <v>137</v>
      </c>
      <c r="L54">
        <v>1354</v>
      </c>
      <c r="N54">
        <v>1010</v>
      </c>
      <c r="O54" t="s">
        <v>18</v>
      </c>
      <c r="P54" t="s">
        <v>18</v>
      </c>
      <c r="Q54">
        <v>1</v>
      </c>
      <c r="W54">
        <v>0</v>
      </c>
      <c r="X54">
        <v>-1047936037</v>
      </c>
      <c r="Y54">
        <f t="shared" si="15"/>
        <v>100</v>
      </c>
      <c r="AA54">
        <v>85.39</v>
      </c>
      <c r="AB54">
        <v>0</v>
      </c>
      <c r="AC54">
        <v>0</v>
      </c>
      <c r="AD54">
        <v>0</v>
      </c>
      <c r="AE54">
        <v>85.39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 t="s">
        <v>3</v>
      </c>
      <c r="AT54">
        <v>100</v>
      </c>
      <c r="AU54" t="s">
        <v>3</v>
      </c>
      <c r="AV54">
        <v>0</v>
      </c>
      <c r="AW54">
        <v>1</v>
      </c>
      <c r="AX54">
        <v>-1</v>
      </c>
      <c r="AY54">
        <v>0</v>
      </c>
      <c r="AZ54">
        <v>0</v>
      </c>
      <c r="BA54" t="s">
        <v>3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ROUND(Y54*Source!I60,9)</f>
        <v>16</v>
      </c>
      <c r="CY54">
        <f t="shared" si="22"/>
        <v>85.39</v>
      </c>
      <c r="CZ54">
        <f t="shared" si="23"/>
        <v>85.39</v>
      </c>
      <c r="DA54">
        <f t="shared" si="24"/>
        <v>1</v>
      </c>
      <c r="DB54">
        <f t="shared" si="16"/>
        <v>8539</v>
      </c>
      <c r="DC54">
        <f t="shared" si="17"/>
        <v>0</v>
      </c>
      <c r="DD54" t="s">
        <v>3</v>
      </c>
      <c r="DE54" t="s">
        <v>3</v>
      </c>
      <c r="DF54">
        <f t="shared" si="18"/>
        <v>1366.24</v>
      </c>
      <c r="DG54">
        <f t="shared" si="19"/>
        <v>0</v>
      </c>
      <c r="DH54">
        <f t="shared" si="20"/>
        <v>0</v>
      </c>
      <c r="DI54">
        <f t="shared" si="21"/>
        <v>0</v>
      </c>
      <c r="DJ54">
        <f t="shared" si="25"/>
        <v>1366.24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ROW(Source!A60)</f>
        <v>60</v>
      </c>
      <c r="B55">
        <v>81141517</v>
      </c>
      <c r="C55">
        <v>81141774</v>
      </c>
      <c r="D55">
        <v>80222831</v>
      </c>
      <c r="E55">
        <v>1</v>
      </c>
      <c r="F55">
        <v>1</v>
      </c>
      <c r="G55">
        <v>15514512</v>
      </c>
      <c r="H55">
        <v>3</v>
      </c>
      <c r="I55" t="s">
        <v>140</v>
      </c>
      <c r="J55" t="s">
        <v>142</v>
      </c>
      <c r="K55" t="s">
        <v>141</v>
      </c>
      <c r="L55">
        <v>1354</v>
      </c>
      <c r="N55">
        <v>1010</v>
      </c>
      <c r="O55" t="s">
        <v>18</v>
      </c>
      <c r="P55" t="s">
        <v>18</v>
      </c>
      <c r="Q55">
        <v>1</v>
      </c>
      <c r="W55">
        <v>0</v>
      </c>
      <c r="X55">
        <v>1625983050</v>
      </c>
      <c r="Y55">
        <f t="shared" si="15"/>
        <v>100</v>
      </c>
      <c r="AA55">
        <v>58.43</v>
      </c>
      <c r="AB55">
        <v>0</v>
      </c>
      <c r="AC55">
        <v>0</v>
      </c>
      <c r="AD55">
        <v>0</v>
      </c>
      <c r="AE55">
        <v>58.43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 t="s">
        <v>3</v>
      </c>
      <c r="AT55">
        <v>100</v>
      </c>
      <c r="AU55" t="s">
        <v>3</v>
      </c>
      <c r="AV55">
        <v>0</v>
      </c>
      <c r="AW55">
        <v>1</v>
      </c>
      <c r="AX55">
        <v>-1</v>
      </c>
      <c r="AY55">
        <v>0</v>
      </c>
      <c r="AZ55">
        <v>0</v>
      </c>
      <c r="BA55" t="s">
        <v>3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ROUND(Y55*Source!I60,9)</f>
        <v>16</v>
      </c>
      <c r="CY55">
        <f t="shared" si="22"/>
        <v>58.43</v>
      </c>
      <c r="CZ55">
        <f t="shared" si="23"/>
        <v>58.43</v>
      </c>
      <c r="DA55">
        <f t="shared" si="24"/>
        <v>1</v>
      </c>
      <c r="DB55">
        <f t="shared" si="16"/>
        <v>5843</v>
      </c>
      <c r="DC55">
        <f t="shared" si="17"/>
        <v>0</v>
      </c>
      <c r="DD55" t="s">
        <v>3</v>
      </c>
      <c r="DE55" t="s">
        <v>3</v>
      </c>
      <c r="DF55">
        <f t="shared" si="18"/>
        <v>934.88</v>
      </c>
      <c r="DG55">
        <f t="shared" si="19"/>
        <v>0</v>
      </c>
      <c r="DH55">
        <f t="shared" si="20"/>
        <v>0</v>
      </c>
      <c r="DI55">
        <f t="shared" si="21"/>
        <v>0</v>
      </c>
      <c r="DJ55">
        <f t="shared" si="25"/>
        <v>934.88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ROW(Source!A60)</f>
        <v>60</v>
      </c>
      <c r="B56">
        <v>81141517</v>
      </c>
      <c r="C56">
        <v>81141774</v>
      </c>
      <c r="D56">
        <v>80222834</v>
      </c>
      <c r="E56">
        <v>1</v>
      </c>
      <c r="F56">
        <v>1</v>
      </c>
      <c r="G56">
        <v>15514512</v>
      </c>
      <c r="H56">
        <v>3</v>
      </c>
      <c r="I56" t="s">
        <v>148</v>
      </c>
      <c r="J56" t="s">
        <v>150</v>
      </c>
      <c r="K56" t="s">
        <v>149</v>
      </c>
      <c r="L56">
        <v>1354</v>
      </c>
      <c r="N56">
        <v>1010</v>
      </c>
      <c r="O56" t="s">
        <v>18</v>
      </c>
      <c r="P56" t="s">
        <v>18</v>
      </c>
      <c r="Q56">
        <v>1</v>
      </c>
      <c r="W56">
        <v>0</v>
      </c>
      <c r="X56">
        <v>-1157508851</v>
      </c>
      <c r="Y56">
        <f t="shared" si="15"/>
        <v>100</v>
      </c>
      <c r="AA56">
        <v>212.7</v>
      </c>
      <c r="AB56">
        <v>0</v>
      </c>
      <c r="AC56">
        <v>0</v>
      </c>
      <c r="AD56">
        <v>0</v>
      </c>
      <c r="AE56">
        <v>212.7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 t="s">
        <v>3</v>
      </c>
      <c r="AT56">
        <v>100</v>
      </c>
      <c r="AU56" t="s">
        <v>3</v>
      </c>
      <c r="AV56">
        <v>0</v>
      </c>
      <c r="AW56">
        <v>1</v>
      </c>
      <c r="AX56">
        <v>-1</v>
      </c>
      <c r="AY56">
        <v>0</v>
      </c>
      <c r="AZ56">
        <v>0</v>
      </c>
      <c r="BA56" t="s">
        <v>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ROUND(Y56*Source!I60,9)</f>
        <v>16</v>
      </c>
      <c r="CY56">
        <f t="shared" si="22"/>
        <v>212.7</v>
      </c>
      <c r="CZ56">
        <f t="shared" si="23"/>
        <v>212.7</v>
      </c>
      <c r="DA56">
        <f t="shared" si="24"/>
        <v>1</v>
      </c>
      <c r="DB56">
        <f t="shared" si="16"/>
        <v>21270</v>
      </c>
      <c r="DC56">
        <f t="shared" si="17"/>
        <v>0</v>
      </c>
      <c r="DD56" t="s">
        <v>3</v>
      </c>
      <c r="DE56" t="s">
        <v>3</v>
      </c>
      <c r="DF56">
        <f t="shared" si="18"/>
        <v>3403.2</v>
      </c>
      <c r="DG56">
        <f t="shared" si="19"/>
        <v>0</v>
      </c>
      <c r="DH56">
        <f t="shared" si="20"/>
        <v>0</v>
      </c>
      <c r="DI56">
        <f t="shared" si="21"/>
        <v>0</v>
      </c>
      <c r="DJ56">
        <f t="shared" si="25"/>
        <v>3403.2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ROW(Source!A60)</f>
        <v>60</v>
      </c>
      <c r="B57">
        <v>81141517</v>
      </c>
      <c r="C57">
        <v>81141774</v>
      </c>
      <c r="D57">
        <v>80222522</v>
      </c>
      <c r="E57">
        <v>1</v>
      </c>
      <c r="F57">
        <v>1</v>
      </c>
      <c r="G57">
        <v>15514512</v>
      </c>
      <c r="H57">
        <v>3</v>
      </c>
      <c r="I57" t="s">
        <v>144</v>
      </c>
      <c r="J57" t="s">
        <v>146</v>
      </c>
      <c r="K57" t="s">
        <v>145</v>
      </c>
      <c r="L57">
        <v>1354</v>
      </c>
      <c r="N57">
        <v>1010</v>
      </c>
      <c r="O57" t="s">
        <v>18</v>
      </c>
      <c r="P57" t="s">
        <v>18</v>
      </c>
      <c r="Q57">
        <v>1</v>
      </c>
      <c r="W57">
        <v>0</v>
      </c>
      <c r="X57">
        <v>-115702678</v>
      </c>
      <c r="Y57">
        <f t="shared" si="15"/>
        <v>400</v>
      </c>
      <c r="AA57">
        <v>157.72999999999999</v>
      </c>
      <c r="AB57">
        <v>0</v>
      </c>
      <c r="AC57">
        <v>0</v>
      </c>
      <c r="AD57">
        <v>0</v>
      </c>
      <c r="AE57">
        <v>157.72999999999999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 t="s">
        <v>3</v>
      </c>
      <c r="AT57">
        <v>400</v>
      </c>
      <c r="AU57" t="s">
        <v>3</v>
      </c>
      <c r="AV57">
        <v>0</v>
      </c>
      <c r="AW57">
        <v>1</v>
      </c>
      <c r="AX57">
        <v>-1</v>
      </c>
      <c r="AY57">
        <v>0</v>
      </c>
      <c r="AZ57">
        <v>0</v>
      </c>
      <c r="BA57" t="s">
        <v>3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ROUND(Y57*Source!I60,9)</f>
        <v>64</v>
      </c>
      <c r="CY57">
        <f t="shared" si="22"/>
        <v>157.72999999999999</v>
      </c>
      <c r="CZ57">
        <f t="shared" si="23"/>
        <v>157.72999999999999</v>
      </c>
      <c r="DA57">
        <f t="shared" si="24"/>
        <v>1</v>
      </c>
      <c r="DB57">
        <f t="shared" si="16"/>
        <v>63092</v>
      </c>
      <c r="DC57">
        <f t="shared" si="17"/>
        <v>0</v>
      </c>
      <c r="DD57" t="s">
        <v>3</v>
      </c>
      <c r="DE57" t="s">
        <v>3</v>
      </c>
      <c r="DF57">
        <f t="shared" si="18"/>
        <v>10094.719999999999</v>
      </c>
      <c r="DG57">
        <f t="shared" si="19"/>
        <v>0</v>
      </c>
      <c r="DH57">
        <f t="shared" si="20"/>
        <v>0</v>
      </c>
      <c r="DI57">
        <f t="shared" si="21"/>
        <v>0</v>
      </c>
      <c r="DJ57">
        <f t="shared" si="25"/>
        <v>10094.719999999999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ROW(Source!A60)</f>
        <v>60</v>
      </c>
      <c r="B58">
        <v>81141517</v>
      </c>
      <c r="C58">
        <v>81141774</v>
      </c>
      <c r="D58">
        <v>0</v>
      </c>
      <c r="E58">
        <v>0</v>
      </c>
      <c r="F58">
        <v>1</v>
      </c>
      <c r="G58">
        <v>15514512</v>
      </c>
      <c r="H58">
        <v>3</v>
      </c>
      <c r="I58" t="s">
        <v>24</v>
      </c>
      <c r="J58" t="s">
        <v>3</v>
      </c>
      <c r="K58" t="s">
        <v>157</v>
      </c>
      <c r="L58">
        <v>1354</v>
      </c>
      <c r="N58">
        <v>1010</v>
      </c>
      <c r="O58" t="s">
        <v>18</v>
      </c>
      <c r="P58" t="s">
        <v>18</v>
      </c>
      <c r="Q58">
        <v>1</v>
      </c>
      <c r="W58">
        <v>0</v>
      </c>
      <c r="X58">
        <v>95767706</v>
      </c>
      <c r="Y58">
        <f t="shared" si="15"/>
        <v>100</v>
      </c>
      <c r="AA58">
        <v>7210.03</v>
      </c>
      <c r="AB58">
        <v>0</v>
      </c>
      <c r="AC58">
        <v>0</v>
      </c>
      <c r="AD58">
        <v>0</v>
      </c>
      <c r="AE58">
        <v>7210.03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0</v>
      </c>
      <c r="AN58">
        <v>0</v>
      </c>
      <c r="AO58">
        <v>0</v>
      </c>
      <c r="AP58">
        <v>1</v>
      </c>
      <c r="AQ58">
        <v>0</v>
      </c>
      <c r="AR58">
        <v>0</v>
      </c>
      <c r="AS58" t="s">
        <v>3</v>
      </c>
      <c r="AT58">
        <v>100</v>
      </c>
      <c r="AU58" t="s">
        <v>3</v>
      </c>
      <c r="AV58">
        <v>0</v>
      </c>
      <c r="AW58">
        <v>1</v>
      </c>
      <c r="AX58">
        <v>-1</v>
      </c>
      <c r="AY58">
        <v>0</v>
      </c>
      <c r="AZ58">
        <v>0</v>
      </c>
      <c r="BA58" t="s">
        <v>3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ROUND(Y58*Source!I60,9)</f>
        <v>16</v>
      </c>
      <c r="CY58">
        <f t="shared" si="22"/>
        <v>7210.03</v>
      </c>
      <c r="CZ58">
        <f t="shared" si="23"/>
        <v>7210.03</v>
      </c>
      <c r="DA58">
        <f t="shared" si="24"/>
        <v>1</v>
      </c>
      <c r="DB58">
        <f t="shared" si="16"/>
        <v>721003</v>
      </c>
      <c r="DC58">
        <f t="shared" si="17"/>
        <v>0</v>
      </c>
      <c r="DD58" t="s">
        <v>3</v>
      </c>
      <c r="DE58" t="s">
        <v>3</v>
      </c>
      <c r="DF58">
        <f t="shared" si="18"/>
        <v>115360.48</v>
      </c>
      <c r="DG58">
        <f t="shared" si="19"/>
        <v>0</v>
      </c>
      <c r="DH58">
        <f t="shared" si="20"/>
        <v>0</v>
      </c>
      <c r="DI58">
        <f t="shared" si="21"/>
        <v>0</v>
      </c>
      <c r="DJ58">
        <f t="shared" si="25"/>
        <v>115360.48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ROW(Source!A67)</f>
        <v>67</v>
      </c>
      <c r="B59">
        <v>81141517</v>
      </c>
      <c r="C59">
        <v>81141809</v>
      </c>
      <c r="D59">
        <v>80199986</v>
      </c>
      <c r="E59">
        <v>15514512</v>
      </c>
      <c r="F59">
        <v>1</v>
      </c>
      <c r="G59">
        <v>15514512</v>
      </c>
      <c r="H59">
        <v>1</v>
      </c>
      <c r="I59" t="s">
        <v>264</v>
      </c>
      <c r="J59" t="s">
        <v>3</v>
      </c>
      <c r="K59" t="s">
        <v>265</v>
      </c>
      <c r="L59">
        <v>1191</v>
      </c>
      <c r="N59">
        <v>1013</v>
      </c>
      <c r="O59" t="s">
        <v>266</v>
      </c>
      <c r="P59" t="s">
        <v>266</v>
      </c>
      <c r="Q59">
        <v>1</v>
      </c>
      <c r="W59">
        <v>0</v>
      </c>
      <c r="X59">
        <v>476480486</v>
      </c>
      <c r="Y59">
        <f t="shared" si="15"/>
        <v>379.5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379.5</v>
      </c>
      <c r="AU59" t="s">
        <v>3</v>
      </c>
      <c r="AV59">
        <v>1</v>
      </c>
      <c r="AW59">
        <v>2</v>
      </c>
      <c r="AX59">
        <v>81141819</v>
      </c>
      <c r="AY59">
        <v>1</v>
      </c>
      <c r="AZ59">
        <v>0</v>
      </c>
      <c r="BA59">
        <v>33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U59">
        <f>ROUND(AT59*Source!I67*AH59*AL59,2)</f>
        <v>0</v>
      </c>
      <c r="CV59">
        <f>ROUND(Y59*Source!I67,9)</f>
        <v>41.744999999999997</v>
      </c>
      <c r="CW59">
        <v>0</v>
      </c>
      <c r="CX59">
        <f>ROUND(Y59*Source!I67,9)</f>
        <v>41.744999999999997</v>
      </c>
      <c r="CY59">
        <f>AD59</f>
        <v>0</v>
      </c>
      <c r="CZ59">
        <f>AH59</f>
        <v>0</v>
      </c>
      <c r="DA59">
        <f>AL59</f>
        <v>1</v>
      </c>
      <c r="DB59">
        <f t="shared" si="16"/>
        <v>0</v>
      </c>
      <c r="DC59">
        <f t="shared" si="17"/>
        <v>0</v>
      </c>
      <c r="DD59" t="s">
        <v>3</v>
      </c>
      <c r="DE59" t="s">
        <v>3</v>
      </c>
      <c r="DF59">
        <f t="shared" si="18"/>
        <v>0</v>
      </c>
      <c r="DG59">
        <f t="shared" si="19"/>
        <v>0</v>
      </c>
      <c r="DH59">
        <f t="shared" si="20"/>
        <v>0</v>
      </c>
      <c r="DI59">
        <f t="shared" si="21"/>
        <v>0</v>
      </c>
      <c r="DJ59">
        <f>DI59</f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ROW(Source!A67)</f>
        <v>67</v>
      </c>
      <c r="B60">
        <v>81141517</v>
      </c>
      <c r="C60">
        <v>81141809</v>
      </c>
      <c r="D60">
        <v>80213010</v>
      </c>
      <c r="E60">
        <v>1</v>
      </c>
      <c r="F60">
        <v>1</v>
      </c>
      <c r="G60">
        <v>15514512</v>
      </c>
      <c r="H60">
        <v>2</v>
      </c>
      <c r="I60" t="s">
        <v>267</v>
      </c>
      <c r="J60" t="s">
        <v>268</v>
      </c>
      <c r="K60" t="s">
        <v>269</v>
      </c>
      <c r="L60">
        <v>1368</v>
      </c>
      <c r="N60">
        <v>1011</v>
      </c>
      <c r="O60" t="s">
        <v>270</v>
      </c>
      <c r="P60" t="s">
        <v>270</v>
      </c>
      <c r="Q60">
        <v>1</v>
      </c>
      <c r="W60">
        <v>0</v>
      </c>
      <c r="X60">
        <v>-1120917231</v>
      </c>
      <c r="Y60">
        <f t="shared" si="15"/>
        <v>14.38</v>
      </c>
      <c r="AA60">
        <v>0</v>
      </c>
      <c r="AB60">
        <v>441.32</v>
      </c>
      <c r="AC60">
        <v>1.36</v>
      </c>
      <c r="AD60">
        <v>0</v>
      </c>
      <c r="AE60">
        <v>0</v>
      </c>
      <c r="AF60">
        <v>441.32</v>
      </c>
      <c r="AG60">
        <v>1.36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14.38</v>
      </c>
      <c r="AU60" t="s">
        <v>3</v>
      </c>
      <c r="AV60">
        <v>0</v>
      </c>
      <c r="AW60">
        <v>2</v>
      </c>
      <c r="AX60">
        <v>81141820</v>
      </c>
      <c r="AY60">
        <v>1</v>
      </c>
      <c r="AZ60">
        <v>0</v>
      </c>
      <c r="BA60">
        <v>34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f>ROUND(Y60*Source!I67*DO60,9)</f>
        <v>0</v>
      </c>
      <c r="CX60">
        <f>ROUND(Y60*Source!I67,9)</f>
        <v>1.5818000000000001</v>
      </c>
      <c r="CY60">
        <f>AB60</f>
        <v>441.32</v>
      </c>
      <c r="CZ60">
        <f>AF60</f>
        <v>441.32</v>
      </c>
      <c r="DA60">
        <f>AJ60</f>
        <v>1</v>
      </c>
      <c r="DB60">
        <f t="shared" si="16"/>
        <v>6346.18</v>
      </c>
      <c r="DC60">
        <f t="shared" si="17"/>
        <v>19.559999999999999</v>
      </c>
      <c r="DD60" t="s">
        <v>3</v>
      </c>
      <c r="DE60" t="s">
        <v>3</v>
      </c>
      <c r="DF60">
        <f t="shared" si="18"/>
        <v>0</v>
      </c>
      <c r="DG60">
        <f t="shared" si="19"/>
        <v>698.08</v>
      </c>
      <c r="DH60">
        <f t="shared" si="20"/>
        <v>2.15</v>
      </c>
      <c r="DI60">
        <f t="shared" si="21"/>
        <v>0</v>
      </c>
      <c r="DJ60">
        <f>DG60</f>
        <v>698.08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ROW(Source!A67)</f>
        <v>67</v>
      </c>
      <c r="B61">
        <v>81141517</v>
      </c>
      <c r="C61">
        <v>81141809</v>
      </c>
      <c r="D61">
        <v>80212735</v>
      </c>
      <c r="E61">
        <v>1</v>
      </c>
      <c r="F61">
        <v>1</v>
      </c>
      <c r="G61">
        <v>15514512</v>
      </c>
      <c r="H61">
        <v>2</v>
      </c>
      <c r="I61" t="s">
        <v>271</v>
      </c>
      <c r="J61" t="s">
        <v>272</v>
      </c>
      <c r="K61" t="s">
        <v>273</v>
      </c>
      <c r="L61">
        <v>1368</v>
      </c>
      <c r="N61">
        <v>1011</v>
      </c>
      <c r="O61" t="s">
        <v>270</v>
      </c>
      <c r="P61" t="s">
        <v>270</v>
      </c>
      <c r="Q61">
        <v>1</v>
      </c>
      <c r="W61">
        <v>0</v>
      </c>
      <c r="X61">
        <v>421484037</v>
      </c>
      <c r="Y61">
        <f t="shared" si="15"/>
        <v>168.75</v>
      </c>
      <c r="AA61">
        <v>0</v>
      </c>
      <c r="AB61">
        <v>1994.58</v>
      </c>
      <c r="AC61">
        <v>1007.74</v>
      </c>
      <c r="AD61">
        <v>0</v>
      </c>
      <c r="AE61">
        <v>0</v>
      </c>
      <c r="AF61">
        <v>1994.58</v>
      </c>
      <c r="AG61">
        <v>1007.74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168.75</v>
      </c>
      <c r="AU61" t="s">
        <v>3</v>
      </c>
      <c r="AV61">
        <v>0</v>
      </c>
      <c r="AW61">
        <v>2</v>
      </c>
      <c r="AX61">
        <v>81141821</v>
      </c>
      <c r="AY61">
        <v>1</v>
      </c>
      <c r="AZ61">
        <v>0</v>
      </c>
      <c r="BA61">
        <v>35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f>ROUND(Y61*Source!I67*DO61,9)</f>
        <v>0</v>
      </c>
      <c r="CX61">
        <f>ROUND(Y61*Source!I67,9)</f>
        <v>18.5625</v>
      </c>
      <c r="CY61">
        <f>AB61</f>
        <v>1994.58</v>
      </c>
      <c r="CZ61">
        <f>AF61</f>
        <v>1994.58</v>
      </c>
      <c r="DA61">
        <f>AJ61</f>
        <v>1</v>
      </c>
      <c r="DB61">
        <f t="shared" si="16"/>
        <v>336585.38</v>
      </c>
      <c r="DC61">
        <f t="shared" si="17"/>
        <v>170056.13</v>
      </c>
      <c r="DD61" t="s">
        <v>3</v>
      </c>
      <c r="DE61" t="s">
        <v>3</v>
      </c>
      <c r="DF61">
        <f t="shared" si="18"/>
        <v>0</v>
      </c>
      <c r="DG61">
        <f t="shared" si="19"/>
        <v>37024.39</v>
      </c>
      <c r="DH61">
        <f t="shared" si="20"/>
        <v>18706.169999999998</v>
      </c>
      <c r="DI61">
        <f t="shared" si="21"/>
        <v>0</v>
      </c>
      <c r="DJ61">
        <f>DG61</f>
        <v>37024.39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ROW(Source!A67)</f>
        <v>67</v>
      </c>
      <c r="B62">
        <v>81141517</v>
      </c>
      <c r="C62">
        <v>81141809</v>
      </c>
      <c r="D62">
        <v>80222584</v>
      </c>
      <c r="E62">
        <v>1</v>
      </c>
      <c r="F62">
        <v>1</v>
      </c>
      <c r="G62">
        <v>15514512</v>
      </c>
      <c r="H62">
        <v>3</v>
      </c>
      <c r="I62" t="s">
        <v>152</v>
      </c>
      <c r="J62" t="s">
        <v>155</v>
      </c>
      <c r="K62" t="s">
        <v>153</v>
      </c>
      <c r="L62">
        <v>1035</v>
      </c>
      <c r="N62">
        <v>1013</v>
      </c>
      <c r="O62" t="s">
        <v>154</v>
      </c>
      <c r="P62" t="s">
        <v>154</v>
      </c>
      <c r="Q62">
        <v>1</v>
      </c>
      <c r="W62">
        <v>0</v>
      </c>
      <c r="X62">
        <v>1806748537</v>
      </c>
      <c r="Y62">
        <f t="shared" si="15"/>
        <v>200</v>
      </c>
      <c r="AA62">
        <v>7737.81</v>
      </c>
      <c r="AB62">
        <v>0</v>
      </c>
      <c r="AC62">
        <v>0</v>
      </c>
      <c r="AD62">
        <v>0</v>
      </c>
      <c r="AE62">
        <v>7737.81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 t="s">
        <v>3</v>
      </c>
      <c r="AT62">
        <v>200</v>
      </c>
      <c r="AU62" t="s">
        <v>3</v>
      </c>
      <c r="AV62">
        <v>0</v>
      </c>
      <c r="AW62">
        <v>1</v>
      </c>
      <c r="AX62">
        <v>-1</v>
      </c>
      <c r="AY62">
        <v>0</v>
      </c>
      <c r="AZ62">
        <v>0</v>
      </c>
      <c r="BA62" t="s">
        <v>3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ROUND(Y62*Source!I67,9)</f>
        <v>22</v>
      </c>
      <c r="CY62">
        <f t="shared" ref="CY62:CY67" si="26">AA62</f>
        <v>7737.81</v>
      </c>
      <c r="CZ62">
        <f t="shared" ref="CZ62:CZ67" si="27">AE62</f>
        <v>7737.81</v>
      </c>
      <c r="DA62">
        <f t="shared" ref="DA62:DA67" si="28">AI62</f>
        <v>1</v>
      </c>
      <c r="DB62">
        <f t="shared" si="16"/>
        <v>1547562</v>
      </c>
      <c r="DC62">
        <f t="shared" si="17"/>
        <v>0</v>
      </c>
      <c r="DD62" t="s">
        <v>3</v>
      </c>
      <c r="DE62" t="s">
        <v>3</v>
      </c>
      <c r="DF62">
        <f t="shared" si="18"/>
        <v>170231.82</v>
      </c>
      <c r="DG62">
        <f t="shared" si="19"/>
        <v>0</v>
      </c>
      <c r="DH62">
        <f t="shared" si="20"/>
        <v>0</v>
      </c>
      <c r="DI62">
        <f t="shared" si="21"/>
        <v>0</v>
      </c>
      <c r="DJ62">
        <f t="shared" ref="DJ62:DJ67" si="29">DF62</f>
        <v>170231.82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ROW(Source!A67)</f>
        <v>67</v>
      </c>
      <c r="B63">
        <v>81141517</v>
      </c>
      <c r="C63">
        <v>81141809</v>
      </c>
      <c r="D63">
        <v>80222704</v>
      </c>
      <c r="E63">
        <v>1</v>
      </c>
      <c r="F63">
        <v>1</v>
      </c>
      <c r="G63">
        <v>15514512</v>
      </c>
      <c r="H63">
        <v>3</v>
      </c>
      <c r="I63" t="s">
        <v>136</v>
      </c>
      <c r="J63" t="s">
        <v>138</v>
      </c>
      <c r="K63" t="s">
        <v>137</v>
      </c>
      <c r="L63">
        <v>1354</v>
      </c>
      <c r="N63">
        <v>1010</v>
      </c>
      <c r="O63" t="s">
        <v>18</v>
      </c>
      <c r="P63" t="s">
        <v>18</v>
      </c>
      <c r="Q63">
        <v>1</v>
      </c>
      <c r="W63">
        <v>0</v>
      </c>
      <c r="X63">
        <v>-1047936037</v>
      </c>
      <c r="Y63">
        <f t="shared" si="15"/>
        <v>100</v>
      </c>
      <c r="AA63">
        <v>85.39</v>
      </c>
      <c r="AB63">
        <v>0</v>
      </c>
      <c r="AC63">
        <v>0</v>
      </c>
      <c r="AD63">
        <v>0</v>
      </c>
      <c r="AE63">
        <v>85.39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 t="s">
        <v>3</v>
      </c>
      <c r="AT63">
        <v>100</v>
      </c>
      <c r="AU63" t="s">
        <v>3</v>
      </c>
      <c r="AV63">
        <v>0</v>
      </c>
      <c r="AW63">
        <v>1</v>
      </c>
      <c r="AX63">
        <v>-1</v>
      </c>
      <c r="AY63">
        <v>0</v>
      </c>
      <c r="AZ63">
        <v>0</v>
      </c>
      <c r="BA63" t="s">
        <v>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ROUND(Y63*Source!I67,9)</f>
        <v>11</v>
      </c>
      <c r="CY63">
        <f t="shared" si="26"/>
        <v>85.39</v>
      </c>
      <c r="CZ63">
        <f t="shared" si="27"/>
        <v>85.39</v>
      </c>
      <c r="DA63">
        <f t="shared" si="28"/>
        <v>1</v>
      </c>
      <c r="DB63">
        <f t="shared" si="16"/>
        <v>8539</v>
      </c>
      <c r="DC63">
        <f t="shared" si="17"/>
        <v>0</v>
      </c>
      <c r="DD63" t="s">
        <v>3</v>
      </c>
      <c r="DE63" t="s">
        <v>3</v>
      </c>
      <c r="DF63">
        <f t="shared" si="18"/>
        <v>939.29</v>
      </c>
      <c r="DG63">
        <f t="shared" si="19"/>
        <v>0</v>
      </c>
      <c r="DH63">
        <f t="shared" si="20"/>
        <v>0</v>
      </c>
      <c r="DI63">
        <f t="shared" si="21"/>
        <v>0</v>
      </c>
      <c r="DJ63">
        <f t="shared" si="29"/>
        <v>939.29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ROW(Source!A67)</f>
        <v>67</v>
      </c>
      <c r="B64">
        <v>81141517</v>
      </c>
      <c r="C64">
        <v>81141809</v>
      </c>
      <c r="D64">
        <v>80222831</v>
      </c>
      <c r="E64">
        <v>1</v>
      </c>
      <c r="F64">
        <v>1</v>
      </c>
      <c r="G64">
        <v>15514512</v>
      </c>
      <c r="H64">
        <v>3</v>
      </c>
      <c r="I64" t="s">
        <v>140</v>
      </c>
      <c r="J64" t="s">
        <v>142</v>
      </c>
      <c r="K64" t="s">
        <v>141</v>
      </c>
      <c r="L64">
        <v>1354</v>
      </c>
      <c r="N64">
        <v>1010</v>
      </c>
      <c r="O64" t="s">
        <v>18</v>
      </c>
      <c r="P64" t="s">
        <v>18</v>
      </c>
      <c r="Q64">
        <v>1</v>
      </c>
      <c r="W64">
        <v>0</v>
      </c>
      <c r="X64">
        <v>1625983050</v>
      </c>
      <c r="Y64">
        <f t="shared" si="15"/>
        <v>100</v>
      </c>
      <c r="AA64">
        <v>58.43</v>
      </c>
      <c r="AB64">
        <v>0</v>
      </c>
      <c r="AC64">
        <v>0</v>
      </c>
      <c r="AD64">
        <v>0</v>
      </c>
      <c r="AE64">
        <v>58.43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 t="s">
        <v>3</v>
      </c>
      <c r="AT64">
        <v>100</v>
      </c>
      <c r="AU64" t="s">
        <v>3</v>
      </c>
      <c r="AV64">
        <v>0</v>
      </c>
      <c r="AW64">
        <v>1</v>
      </c>
      <c r="AX64">
        <v>-1</v>
      </c>
      <c r="AY64">
        <v>0</v>
      </c>
      <c r="AZ64">
        <v>0</v>
      </c>
      <c r="BA64" t="s">
        <v>3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ROUND(Y64*Source!I67,9)</f>
        <v>11</v>
      </c>
      <c r="CY64">
        <f t="shared" si="26"/>
        <v>58.43</v>
      </c>
      <c r="CZ64">
        <f t="shared" si="27"/>
        <v>58.43</v>
      </c>
      <c r="DA64">
        <f t="shared" si="28"/>
        <v>1</v>
      </c>
      <c r="DB64">
        <f t="shared" si="16"/>
        <v>5843</v>
      </c>
      <c r="DC64">
        <f t="shared" si="17"/>
        <v>0</v>
      </c>
      <c r="DD64" t="s">
        <v>3</v>
      </c>
      <c r="DE64" t="s">
        <v>3</v>
      </c>
      <c r="DF64">
        <f t="shared" si="18"/>
        <v>642.73</v>
      </c>
      <c r="DG64">
        <f t="shared" si="19"/>
        <v>0</v>
      </c>
      <c r="DH64">
        <f t="shared" si="20"/>
        <v>0</v>
      </c>
      <c r="DI64">
        <f t="shared" si="21"/>
        <v>0</v>
      </c>
      <c r="DJ64">
        <f t="shared" si="29"/>
        <v>642.73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ROW(Source!A67)</f>
        <v>67</v>
      </c>
      <c r="B65">
        <v>81141517</v>
      </c>
      <c r="C65">
        <v>81141809</v>
      </c>
      <c r="D65">
        <v>80222834</v>
      </c>
      <c r="E65">
        <v>1</v>
      </c>
      <c r="F65">
        <v>1</v>
      </c>
      <c r="G65">
        <v>15514512</v>
      </c>
      <c r="H65">
        <v>3</v>
      </c>
      <c r="I65" t="s">
        <v>148</v>
      </c>
      <c r="J65" t="s">
        <v>150</v>
      </c>
      <c r="K65" t="s">
        <v>149</v>
      </c>
      <c r="L65">
        <v>1354</v>
      </c>
      <c r="N65">
        <v>1010</v>
      </c>
      <c r="O65" t="s">
        <v>18</v>
      </c>
      <c r="P65" t="s">
        <v>18</v>
      </c>
      <c r="Q65">
        <v>1</v>
      </c>
      <c r="W65">
        <v>0</v>
      </c>
      <c r="X65">
        <v>-1157508851</v>
      </c>
      <c r="Y65">
        <f t="shared" ref="Y65:Y81" si="30">AT65</f>
        <v>100</v>
      </c>
      <c r="AA65">
        <v>212.7</v>
      </c>
      <c r="AB65">
        <v>0</v>
      </c>
      <c r="AC65">
        <v>0</v>
      </c>
      <c r="AD65">
        <v>0</v>
      </c>
      <c r="AE65">
        <v>212.7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 t="s">
        <v>3</v>
      </c>
      <c r="AT65">
        <v>100</v>
      </c>
      <c r="AU65" t="s">
        <v>3</v>
      </c>
      <c r="AV65">
        <v>0</v>
      </c>
      <c r="AW65">
        <v>1</v>
      </c>
      <c r="AX65">
        <v>-1</v>
      </c>
      <c r="AY65">
        <v>0</v>
      </c>
      <c r="AZ65">
        <v>0</v>
      </c>
      <c r="BA65" t="s">
        <v>3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ROUND(Y65*Source!I67,9)</f>
        <v>11</v>
      </c>
      <c r="CY65">
        <f t="shared" si="26"/>
        <v>212.7</v>
      </c>
      <c r="CZ65">
        <f t="shared" si="27"/>
        <v>212.7</v>
      </c>
      <c r="DA65">
        <f t="shared" si="28"/>
        <v>1</v>
      </c>
      <c r="DB65">
        <f t="shared" ref="DB65:DB81" si="31">ROUND(ROUND(AT65*CZ65,2),6)</f>
        <v>21270</v>
      </c>
      <c r="DC65">
        <f t="shared" ref="DC65:DC81" si="32">ROUND(ROUND(AT65*AG65,2),6)</f>
        <v>0</v>
      </c>
      <c r="DD65" t="s">
        <v>3</v>
      </c>
      <c r="DE65" t="s">
        <v>3</v>
      </c>
      <c r="DF65">
        <f t="shared" ref="DF65:DF81" si="33">ROUND(ROUND(AE65,2)*CX65,2)</f>
        <v>2339.6999999999998</v>
      </c>
      <c r="DG65">
        <f t="shared" ref="DG65:DG81" si="34">ROUND(ROUND(AF65,2)*CX65,2)</f>
        <v>0</v>
      </c>
      <c r="DH65">
        <f t="shared" ref="DH65:DH81" si="35">ROUND(ROUND(AG65,2)*CX65,2)</f>
        <v>0</v>
      </c>
      <c r="DI65">
        <f t="shared" ref="DI65:DI81" si="36">ROUND(ROUND(AH65,2)*CX65,2)</f>
        <v>0</v>
      </c>
      <c r="DJ65">
        <f t="shared" si="29"/>
        <v>2339.6999999999998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ROW(Source!A67)</f>
        <v>67</v>
      </c>
      <c r="B66">
        <v>81141517</v>
      </c>
      <c r="C66">
        <v>81141809</v>
      </c>
      <c r="D66">
        <v>80222522</v>
      </c>
      <c r="E66">
        <v>1</v>
      </c>
      <c r="F66">
        <v>1</v>
      </c>
      <c r="G66">
        <v>15514512</v>
      </c>
      <c r="H66">
        <v>3</v>
      </c>
      <c r="I66" t="s">
        <v>144</v>
      </c>
      <c r="J66" t="s">
        <v>146</v>
      </c>
      <c r="K66" t="s">
        <v>145</v>
      </c>
      <c r="L66">
        <v>1354</v>
      </c>
      <c r="N66">
        <v>1010</v>
      </c>
      <c r="O66" t="s">
        <v>18</v>
      </c>
      <c r="P66" t="s">
        <v>18</v>
      </c>
      <c r="Q66">
        <v>1</v>
      </c>
      <c r="W66">
        <v>0</v>
      </c>
      <c r="X66">
        <v>-115702678</v>
      </c>
      <c r="Y66">
        <f t="shared" si="30"/>
        <v>400</v>
      </c>
      <c r="AA66">
        <v>157.72999999999999</v>
      </c>
      <c r="AB66">
        <v>0</v>
      </c>
      <c r="AC66">
        <v>0</v>
      </c>
      <c r="AD66">
        <v>0</v>
      </c>
      <c r="AE66">
        <v>157.72999999999999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 t="s">
        <v>3</v>
      </c>
      <c r="AT66">
        <v>400</v>
      </c>
      <c r="AU66" t="s">
        <v>3</v>
      </c>
      <c r="AV66">
        <v>0</v>
      </c>
      <c r="AW66">
        <v>1</v>
      </c>
      <c r="AX66">
        <v>-1</v>
      </c>
      <c r="AY66">
        <v>0</v>
      </c>
      <c r="AZ66">
        <v>0</v>
      </c>
      <c r="BA66" t="s">
        <v>3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ROUND(Y66*Source!I67,9)</f>
        <v>44</v>
      </c>
      <c r="CY66">
        <f t="shared" si="26"/>
        <v>157.72999999999999</v>
      </c>
      <c r="CZ66">
        <f t="shared" si="27"/>
        <v>157.72999999999999</v>
      </c>
      <c r="DA66">
        <f t="shared" si="28"/>
        <v>1</v>
      </c>
      <c r="DB66">
        <f t="shared" si="31"/>
        <v>63092</v>
      </c>
      <c r="DC66">
        <f t="shared" si="32"/>
        <v>0</v>
      </c>
      <c r="DD66" t="s">
        <v>3</v>
      </c>
      <c r="DE66" t="s">
        <v>3</v>
      </c>
      <c r="DF66">
        <f t="shared" si="33"/>
        <v>6940.12</v>
      </c>
      <c r="DG66">
        <f t="shared" si="34"/>
        <v>0</v>
      </c>
      <c r="DH66">
        <f t="shared" si="35"/>
        <v>0</v>
      </c>
      <c r="DI66">
        <f t="shared" si="36"/>
        <v>0</v>
      </c>
      <c r="DJ66">
        <f t="shared" si="29"/>
        <v>6940.12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ROW(Source!A67)</f>
        <v>67</v>
      </c>
      <c r="B67">
        <v>81141517</v>
      </c>
      <c r="C67">
        <v>81141809</v>
      </c>
      <c r="D67">
        <v>0</v>
      </c>
      <c r="E67">
        <v>15514512</v>
      </c>
      <c r="F67">
        <v>1</v>
      </c>
      <c r="G67">
        <v>15514512</v>
      </c>
      <c r="H67">
        <v>3</v>
      </c>
      <c r="I67" t="s">
        <v>24</v>
      </c>
      <c r="J67" t="s">
        <v>3</v>
      </c>
      <c r="K67" t="s">
        <v>166</v>
      </c>
      <c r="L67">
        <v>1354</v>
      </c>
      <c r="N67">
        <v>1010</v>
      </c>
      <c r="O67" t="s">
        <v>18</v>
      </c>
      <c r="P67" t="s">
        <v>18</v>
      </c>
      <c r="Q67">
        <v>1</v>
      </c>
      <c r="W67">
        <v>0</v>
      </c>
      <c r="X67">
        <v>1523191370</v>
      </c>
      <c r="Y67">
        <f t="shared" si="30"/>
        <v>100</v>
      </c>
      <c r="AA67">
        <v>9712.83</v>
      </c>
      <c r="AB67">
        <v>0</v>
      </c>
      <c r="AC67">
        <v>0</v>
      </c>
      <c r="AD67">
        <v>0</v>
      </c>
      <c r="AE67">
        <v>9712.83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0</v>
      </c>
      <c r="AN67">
        <v>0</v>
      </c>
      <c r="AO67">
        <v>0</v>
      </c>
      <c r="AP67">
        <v>1</v>
      </c>
      <c r="AQ67">
        <v>0</v>
      </c>
      <c r="AR67">
        <v>0</v>
      </c>
      <c r="AS67" t="s">
        <v>3</v>
      </c>
      <c r="AT67">
        <v>100</v>
      </c>
      <c r="AU67" t="s">
        <v>3</v>
      </c>
      <c r="AV67">
        <v>0</v>
      </c>
      <c r="AW67">
        <v>1</v>
      </c>
      <c r="AX67">
        <v>-1</v>
      </c>
      <c r="AY67">
        <v>0</v>
      </c>
      <c r="AZ67">
        <v>0</v>
      </c>
      <c r="BA67" t="s">
        <v>3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ROUND(Y67*Source!I67,9)</f>
        <v>11</v>
      </c>
      <c r="CY67">
        <f t="shared" si="26"/>
        <v>9712.83</v>
      </c>
      <c r="CZ67">
        <f t="shared" si="27"/>
        <v>9712.83</v>
      </c>
      <c r="DA67">
        <f t="shared" si="28"/>
        <v>1</v>
      </c>
      <c r="DB67">
        <f t="shared" si="31"/>
        <v>971283</v>
      </c>
      <c r="DC67">
        <f t="shared" si="32"/>
        <v>0</v>
      </c>
      <c r="DD67" t="s">
        <v>3</v>
      </c>
      <c r="DE67" t="s">
        <v>3</v>
      </c>
      <c r="DF67">
        <f t="shared" si="33"/>
        <v>106841.13</v>
      </c>
      <c r="DG67">
        <f t="shared" si="34"/>
        <v>0</v>
      </c>
      <c r="DH67">
        <f t="shared" si="35"/>
        <v>0</v>
      </c>
      <c r="DI67">
        <f t="shared" si="36"/>
        <v>0</v>
      </c>
      <c r="DJ67">
        <f t="shared" si="29"/>
        <v>106841.13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ROW(Source!A74)</f>
        <v>74</v>
      </c>
      <c r="B68">
        <v>81141517</v>
      </c>
      <c r="C68">
        <v>81141829</v>
      </c>
      <c r="D68">
        <v>80199986</v>
      </c>
      <c r="E68">
        <v>15514512</v>
      </c>
      <c r="F68">
        <v>1</v>
      </c>
      <c r="G68">
        <v>15514512</v>
      </c>
      <c r="H68">
        <v>1</v>
      </c>
      <c r="I68" t="s">
        <v>264</v>
      </c>
      <c r="J68" t="s">
        <v>3</v>
      </c>
      <c r="K68" t="s">
        <v>265</v>
      </c>
      <c r="L68">
        <v>1191</v>
      </c>
      <c r="N68">
        <v>1013</v>
      </c>
      <c r="O68" t="s">
        <v>266</v>
      </c>
      <c r="P68" t="s">
        <v>266</v>
      </c>
      <c r="Q68">
        <v>1</v>
      </c>
      <c r="W68">
        <v>0</v>
      </c>
      <c r="X68">
        <v>476480486</v>
      </c>
      <c r="Y68">
        <f t="shared" si="30"/>
        <v>379.5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379.5</v>
      </c>
      <c r="AU68" t="s">
        <v>3</v>
      </c>
      <c r="AV68">
        <v>1</v>
      </c>
      <c r="AW68">
        <v>2</v>
      </c>
      <c r="AX68">
        <v>81141839</v>
      </c>
      <c r="AY68">
        <v>1</v>
      </c>
      <c r="AZ68">
        <v>0</v>
      </c>
      <c r="BA68">
        <v>36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U68">
        <f>ROUND(AT68*Source!I74*AH68*AL68,2)</f>
        <v>0</v>
      </c>
      <c r="CV68">
        <f>ROUND(Y68*Source!I74,9)</f>
        <v>246.67500000000001</v>
      </c>
      <c r="CW68">
        <v>0</v>
      </c>
      <c r="CX68">
        <f>ROUND(Y68*Source!I74,9)</f>
        <v>246.67500000000001</v>
      </c>
      <c r="CY68">
        <f>AD68</f>
        <v>0</v>
      </c>
      <c r="CZ68">
        <f>AH68</f>
        <v>0</v>
      </c>
      <c r="DA68">
        <f>AL68</f>
        <v>1</v>
      </c>
      <c r="DB68">
        <f t="shared" si="31"/>
        <v>0</v>
      </c>
      <c r="DC68">
        <f t="shared" si="32"/>
        <v>0</v>
      </c>
      <c r="DD68" t="s">
        <v>3</v>
      </c>
      <c r="DE68" t="s">
        <v>3</v>
      </c>
      <c r="DF68">
        <f t="shared" si="33"/>
        <v>0</v>
      </c>
      <c r="DG68">
        <f t="shared" si="34"/>
        <v>0</v>
      </c>
      <c r="DH68">
        <f t="shared" si="35"/>
        <v>0</v>
      </c>
      <c r="DI68">
        <f t="shared" si="36"/>
        <v>0</v>
      </c>
      <c r="DJ68">
        <f>DI68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ROW(Source!A74)</f>
        <v>74</v>
      </c>
      <c r="B69">
        <v>81141517</v>
      </c>
      <c r="C69">
        <v>81141829</v>
      </c>
      <c r="D69">
        <v>80213010</v>
      </c>
      <c r="E69">
        <v>1</v>
      </c>
      <c r="F69">
        <v>1</v>
      </c>
      <c r="G69">
        <v>15514512</v>
      </c>
      <c r="H69">
        <v>2</v>
      </c>
      <c r="I69" t="s">
        <v>267</v>
      </c>
      <c r="J69" t="s">
        <v>268</v>
      </c>
      <c r="K69" t="s">
        <v>269</v>
      </c>
      <c r="L69">
        <v>1368</v>
      </c>
      <c r="N69">
        <v>1011</v>
      </c>
      <c r="O69" t="s">
        <v>270</v>
      </c>
      <c r="P69" t="s">
        <v>270</v>
      </c>
      <c r="Q69">
        <v>1</v>
      </c>
      <c r="W69">
        <v>0</v>
      </c>
      <c r="X69">
        <v>-1120917231</v>
      </c>
      <c r="Y69">
        <f t="shared" si="30"/>
        <v>14.38</v>
      </c>
      <c r="AA69">
        <v>0</v>
      </c>
      <c r="AB69">
        <v>441.32</v>
      </c>
      <c r="AC69">
        <v>1.36</v>
      </c>
      <c r="AD69">
        <v>0</v>
      </c>
      <c r="AE69">
        <v>0</v>
      </c>
      <c r="AF69">
        <v>441.32</v>
      </c>
      <c r="AG69">
        <v>1.36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14.38</v>
      </c>
      <c r="AU69" t="s">
        <v>3</v>
      </c>
      <c r="AV69">
        <v>0</v>
      </c>
      <c r="AW69">
        <v>2</v>
      </c>
      <c r="AX69">
        <v>81141840</v>
      </c>
      <c r="AY69">
        <v>1</v>
      </c>
      <c r="AZ69">
        <v>0</v>
      </c>
      <c r="BA69">
        <v>37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f>ROUND(Y69*Source!I74*DO69,9)</f>
        <v>0</v>
      </c>
      <c r="CX69">
        <f>ROUND(Y69*Source!I74,9)</f>
        <v>9.3469999999999995</v>
      </c>
      <c r="CY69">
        <f>AB69</f>
        <v>441.32</v>
      </c>
      <c r="CZ69">
        <f>AF69</f>
        <v>441.32</v>
      </c>
      <c r="DA69">
        <f>AJ69</f>
        <v>1</v>
      </c>
      <c r="DB69">
        <f t="shared" si="31"/>
        <v>6346.18</v>
      </c>
      <c r="DC69">
        <f t="shared" si="32"/>
        <v>19.559999999999999</v>
      </c>
      <c r="DD69" t="s">
        <v>3</v>
      </c>
      <c r="DE69" t="s">
        <v>3</v>
      </c>
      <c r="DF69">
        <f t="shared" si="33"/>
        <v>0</v>
      </c>
      <c r="DG69">
        <f t="shared" si="34"/>
        <v>4125.0200000000004</v>
      </c>
      <c r="DH69">
        <f t="shared" si="35"/>
        <v>12.71</v>
      </c>
      <c r="DI69">
        <f t="shared" si="36"/>
        <v>0</v>
      </c>
      <c r="DJ69">
        <f>DG69</f>
        <v>4125.0200000000004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ROW(Source!A74)</f>
        <v>74</v>
      </c>
      <c r="B70">
        <v>81141517</v>
      </c>
      <c r="C70">
        <v>81141829</v>
      </c>
      <c r="D70">
        <v>80212735</v>
      </c>
      <c r="E70">
        <v>1</v>
      </c>
      <c r="F70">
        <v>1</v>
      </c>
      <c r="G70">
        <v>15514512</v>
      </c>
      <c r="H70">
        <v>2</v>
      </c>
      <c r="I70" t="s">
        <v>271</v>
      </c>
      <c r="J70" t="s">
        <v>272</v>
      </c>
      <c r="K70" t="s">
        <v>273</v>
      </c>
      <c r="L70">
        <v>1368</v>
      </c>
      <c r="N70">
        <v>1011</v>
      </c>
      <c r="O70" t="s">
        <v>270</v>
      </c>
      <c r="P70" t="s">
        <v>270</v>
      </c>
      <c r="Q70">
        <v>1</v>
      </c>
      <c r="W70">
        <v>0</v>
      </c>
      <c r="X70">
        <v>421484037</v>
      </c>
      <c r="Y70">
        <f t="shared" si="30"/>
        <v>168.75</v>
      </c>
      <c r="AA70">
        <v>0</v>
      </c>
      <c r="AB70">
        <v>1994.58</v>
      </c>
      <c r="AC70">
        <v>1007.74</v>
      </c>
      <c r="AD70">
        <v>0</v>
      </c>
      <c r="AE70">
        <v>0</v>
      </c>
      <c r="AF70">
        <v>1994.58</v>
      </c>
      <c r="AG70">
        <v>1007.74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168.75</v>
      </c>
      <c r="AU70" t="s">
        <v>3</v>
      </c>
      <c r="AV70">
        <v>0</v>
      </c>
      <c r="AW70">
        <v>2</v>
      </c>
      <c r="AX70">
        <v>81141841</v>
      </c>
      <c r="AY70">
        <v>1</v>
      </c>
      <c r="AZ70">
        <v>0</v>
      </c>
      <c r="BA70">
        <v>38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f>ROUND(Y70*Source!I74*DO70,9)</f>
        <v>0</v>
      </c>
      <c r="CX70">
        <f>ROUND(Y70*Source!I74,9)</f>
        <v>109.6875</v>
      </c>
      <c r="CY70">
        <f>AB70</f>
        <v>1994.58</v>
      </c>
      <c r="CZ70">
        <f>AF70</f>
        <v>1994.58</v>
      </c>
      <c r="DA70">
        <f>AJ70</f>
        <v>1</v>
      </c>
      <c r="DB70">
        <f t="shared" si="31"/>
        <v>336585.38</v>
      </c>
      <c r="DC70">
        <f t="shared" si="32"/>
        <v>170056.13</v>
      </c>
      <c r="DD70" t="s">
        <v>3</v>
      </c>
      <c r="DE70" t="s">
        <v>3</v>
      </c>
      <c r="DF70">
        <f t="shared" si="33"/>
        <v>0</v>
      </c>
      <c r="DG70">
        <f t="shared" si="34"/>
        <v>218780.49</v>
      </c>
      <c r="DH70">
        <f t="shared" si="35"/>
        <v>110536.48</v>
      </c>
      <c r="DI70">
        <f t="shared" si="36"/>
        <v>0</v>
      </c>
      <c r="DJ70">
        <f>DG70</f>
        <v>218780.49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ROW(Source!A74)</f>
        <v>74</v>
      </c>
      <c r="B71">
        <v>81141517</v>
      </c>
      <c r="C71">
        <v>81141829</v>
      </c>
      <c r="D71">
        <v>80222584</v>
      </c>
      <c r="E71">
        <v>1</v>
      </c>
      <c r="F71">
        <v>1</v>
      </c>
      <c r="G71">
        <v>15514512</v>
      </c>
      <c r="H71">
        <v>3</v>
      </c>
      <c r="I71" t="s">
        <v>152</v>
      </c>
      <c r="J71" t="s">
        <v>155</v>
      </c>
      <c r="K71" t="s">
        <v>153</v>
      </c>
      <c r="L71">
        <v>1035</v>
      </c>
      <c r="N71">
        <v>1013</v>
      </c>
      <c r="O71" t="s">
        <v>154</v>
      </c>
      <c r="P71" t="s">
        <v>154</v>
      </c>
      <c r="Q71">
        <v>1</v>
      </c>
      <c r="W71">
        <v>0</v>
      </c>
      <c r="X71">
        <v>1806748537</v>
      </c>
      <c r="Y71">
        <f t="shared" si="30"/>
        <v>200</v>
      </c>
      <c r="AA71">
        <v>7737.81</v>
      </c>
      <c r="AB71">
        <v>0</v>
      </c>
      <c r="AC71">
        <v>0</v>
      </c>
      <c r="AD71">
        <v>0</v>
      </c>
      <c r="AE71">
        <v>7737.81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 t="s">
        <v>3</v>
      </c>
      <c r="AT71">
        <v>200</v>
      </c>
      <c r="AU71" t="s">
        <v>3</v>
      </c>
      <c r="AV71">
        <v>0</v>
      </c>
      <c r="AW71">
        <v>1</v>
      </c>
      <c r="AX71">
        <v>-1</v>
      </c>
      <c r="AY71">
        <v>0</v>
      </c>
      <c r="AZ71">
        <v>0</v>
      </c>
      <c r="BA71" t="s">
        <v>3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ROUND(Y71*Source!I74,9)</f>
        <v>130</v>
      </c>
      <c r="CY71">
        <f t="shared" ref="CY71:CY76" si="37">AA71</f>
        <v>7737.81</v>
      </c>
      <c r="CZ71">
        <f t="shared" ref="CZ71:CZ76" si="38">AE71</f>
        <v>7737.81</v>
      </c>
      <c r="DA71">
        <f t="shared" ref="DA71:DA76" si="39">AI71</f>
        <v>1</v>
      </c>
      <c r="DB71">
        <f t="shared" si="31"/>
        <v>1547562</v>
      </c>
      <c r="DC71">
        <f t="shared" si="32"/>
        <v>0</v>
      </c>
      <c r="DD71" t="s">
        <v>3</v>
      </c>
      <c r="DE71" t="s">
        <v>3</v>
      </c>
      <c r="DF71">
        <f t="shared" si="33"/>
        <v>1005915.3</v>
      </c>
      <c r="DG71">
        <f t="shared" si="34"/>
        <v>0</v>
      </c>
      <c r="DH71">
        <f t="shared" si="35"/>
        <v>0</v>
      </c>
      <c r="DI71">
        <f t="shared" si="36"/>
        <v>0</v>
      </c>
      <c r="DJ71">
        <f t="shared" ref="DJ71:DJ76" si="40">DF71</f>
        <v>1005915.3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ROW(Source!A74)</f>
        <v>74</v>
      </c>
      <c r="B72">
        <v>81141517</v>
      </c>
      <c r="C72">
        <v>81141829</v>
      </c>
      <c r="D72">
        <v>80222704</v>
      </c>
      <c r="E72">
        <v>1</v>
      </c>
      <c r="F72">
        <v>1</v>
      </c>
      <c r="G72">
        <v>15514512</v>
      </c>
      <c r="H72">
        <v>3</v>
      </c>
      <c r="I72" t="s">
        <v>136</v>
      </c>
      <c r="J72" t="s">
        <v>138</v>
      </c>
      <c r="K72" t="s">
        <v>137</v>
      </c>
      <c r="L72">
        <v>1354</v>
      </c>
      <c r="N72">
        <v>1010</v>
      </c>
      <c r="O72" t="s">
        <v>18</v>
      </c>
      <c r="P72" t="s">
        <v>18</v>
      </c>
      <c r="Q72">
        <v>1</v>
      </c>
      <c r="W72">
        <v>0</v>
      </c>
      <c r="X72">
        <v>-1047936037</v>
      </c>
      <c r="Y72">
        <f t="shared" si="30"/>
        <v>100</v>
      </c>
      <c r="AA72">
        <v>85.39</v>
      </c>
      <c r="AB72">
        <v>0</v>
      </c>
      <c r="AC72">
        <v>0</v>
      </c>
      <c r="AD72">
        <v>0</v>
      </c>
      <c r="AE72">
        <v>85.39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 t="s">
        <v>3</v>
      </c>
      <c r="AT72">
        <v>100</v>
      </c>
      <c r="AU72" t="s">
        <v>3</v>
      </c>
      <c r="AV72">
        <v>0</v>
      </c>
      <c r="AW72">
        <v>1</v>
      </c>
      <c r="AX72">
        <v>-1</v>
      </c>
      <c r="AY72">
        <v>0</v>
      </c>
      <c r="AZ72">
        <v>0</v>
      </c>
      <c r="BA72" t="s">
        <v>3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ROUND(Y72*Source!I74,9)</f>
        <v>65</v>
      </c>
      <c r="CY72">
        <f t="shared" si="37"/>
        <v>85.39</v>
      </c>
      <c r="CZ72">
        <f t="shared" si="38"/>
        <v>85.39</v>
      </c>
      <c r="DA72">
        <f t="shared" si="39"/>
        <v>1</v>
      </c>
      <c r="DB72">
        <f t="shared" si="31"/>
        <v>8539</v>
      </c>
      <c r="DC72">
        <f t="shared" si="32"/>
        <v>0</v>
      </c>
      <c r="DD72" t="s">
        <v>3</v>
      </c>
      <c r="DE72" t="s">
        <v>3</v>
      </c>
      <c r="DF72">
        <f t="shared" si="33"/>
        <v>5550.35</v>
      </c>
      <c r="DG72">
        <f t="shared" si="34"/>
        <v>0</v>
      </c>
      <c r="DH72">
        <f t="shared" si="35"/>
        <v>0</v>
      </c>
      <c r="DI72">
        <f t="shared" si="36"/>
        <v>0</v>
      </c>
      <c r="DJ72">
        <f t="shared" si="40"/>
        <v>5550.35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ROW(Source!A74)</f>
        <v>74</v>
      </c>
      <c r="B73">
        <v>81141517</v>
      </c>
      <c r="C73">
        <v>81141829</v>
      </c>
      <c r="D73">
        <v>80222831</v>
      </c>
      <c r="E73">
        <v>1</v>
      </c>
      <c r="F73">
        <v>1</v>
      </c>
      <c r="G73">
        <v>15514512</v>
      </c>
      <c r="H73">
        <v>3</v>
      </c>
      <c r="I73" t="s">
        <v>140</v>
      </c>
      <c r="J73" t="s">
        <v>142</v>
      </c>
      <c r="K73" t="s">
        <v>141</v>
      </c>
      <c r="L73">
        <v>1354</v>
      </c>
      <c r="N73">
        <v>1010</v>
      </c>
      <c r="O73" t="s">
        <v>18</v>
      </c>
      <c r="P73" t="s">
        <v>18</v>
      </c>
      <c r="Q73">
        <v>1</v>
      </c>
      <c r="W73">
        <v>0</v>
      </c>
      <c r="X73">
        <v>1625983050</v>
      </c>
      <c r="Y73">
        <f t="shared" si="30"/>
        <v>100</v>
      </c>
      <c r="AA73">
        <v>58.43</v>
      </c>
      <c r="AB73">
        <v>0</v>
      </c>
      <c r="AC73">
        <v>0</v>
      </c>
      <c r="AD73">
        <v>0</v>
      </c>
      <c r="AE73">
        <v>58.43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 t="s">
        <v>3</v>
      </c>
      <c r="AT73">
        <v>100</v>
      </c>
      <c r="AU73" t="s">
        <v>3</v>
      </c>
      <c r="AV73">
        <v>0</v>
      </c>
      <c r="AW73">
        <v>1</v>
      </c>
      <c r="AX73">
        <v>-1</v>
      </c>
      <c r="AY73">
        <v>0</v>
      </c>
      <c r="AZ73">
        <v>0</v>
      </c>
      <c r="BA73" t="s">
        <v>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ROUND(Y73*Source!I74,9)</f>
        <v>65</v>
      </c>
      <c r="CY73">
        <f t="shared" si="37"/>
        <v>58.43</v>
      </c>
      <c r="CZ73">
        <f t="shared" si="38"/>
        <v>58.43</v>
      </c>
      <c r="DA73">
        <f t="shared" si="39"/>
        <v>1</v>
      </c>
      <c r="DB73">
        <f t="shared" si="31"/>
        <v>5843</v>
      </c>
      <c r="DC73">
        <f t="shared" si="32"/>
        <v>0</v>
      </c>
      <c r="DD73" t="s">
        <v>3</v>
      </c>
      <c r="DE73" t="s">
        <v>3</v>
      </c>
      <c r="DF73">
        <f t="shared" si="33"/>
        <v>3797.95</v>
      </c>
      <c r="DG73">
        <f t="shared" si="34"/>
        <v>0</v>
      </c>
      <c r="DH73">
        <f t="shared" si="35"/>
        <v>0</v>
      </c>
      <c r="DI73">
        <f t="shared" si="36"/>
        <v>0</v>
      </c>
      <c r="DJ73">
        <f t="shared" si="40"/>
        <v>3797.95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ROW(Source!A74)</f>
        <v>74</v>
      </c>
      <c r="B74">
        <v>81141517</v>
      </c>
      <c r="C74">
        <v>81141829</v>
      </c>
      <c r="D74">
        <v>80222834</v>
      </c>
      <c r="E74">
        <v>1</v>
      </c>
      <c r="F74">
        <v>1</v>
      </c>
      <c r="G74">
        <v>15514512</v>
      </c>
      <c r="H74">
        <v>3</v>
      </c>
      <c r="I74" t="s">
        <v>148</v>
      </c>
      <c r="J74" t="s">
        <v>150</v>
      </c>
      <c r="K74" t="s">
        <v>149</v>
      </c>
      <c r="L74">
        <v>1354</v>
      </c>
      <c r="N74">
        <v>1010</v>
      </c>
      <c r="O74" t="s">
        <v>18</v>
      </c>
      <c r="P74" t="s">
        <v>18</v>
      </c>
      <c r="Q74">
        <v>1</v>
      </c>
      <c r="W74">
        <v>0</v>
      </c>
      <c r="X74">
        <v>-1157508851</v>
      </c>
      <c r="Y74">
        <f t="shared" si="30"/>
        <v>100</v>
      </c>
      <c r="AA74">
        <v>212.7</v>
      </c>
      <c r="AB74">
        <v>0</v>
      </c>
      <c r="AC74">
        <v>0</v>
      </c>
      <c r="AD74">
        <v>0</v>
      </c>
      <c r="AE74">
        <v>212.7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 t="s">
        <v>3</v>
      </c>
      <c r="AT74">
        <v>100</v>
      </c>
      <c r="AU74" t="s">
        <v>3</v>
      </c>
      <c r="AV74">
        <v>0</v>
      </c>
      <c r="AW74">
        <v>1</v>
      </c>
      <c r="AX74">
        <v>-1</v>
      </c>
      <c r="AY74">
        <v>0</v>
      </c>
      <c r="AZ74">
        <v>0</v>
      </c>
      <c r="BA74" t="s">
        <v>3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ROUND(Y74*Source!I74,9)</f>
        <v>65</v>
      </c>
      <c r="CY74">
        <f t="shared" si="37"/>
        <v>212.7</v>
      </c>
      <c r="CZ74">
        <f t="shared" si="38"/>
        <v>212.7</v>
      </c>
      <c r="DA74">
        <f t="shared" si="39"/>
        <v>1</v>
      </c>
      <c r="DB74">
        <f t="shared" si="31"/>
        <v>21270</v>
      </c>
      <c r="DC74">
        <f t="shared" si="32"/>
        <v>0</v>
      </c>
      <c r="DD74" t="s">
        <v>3</v>
      </c>
      <c r="DE74" t="s">
        <v>3</v>
      </c>
      <c r="DF74">
        <f t="shared" si="33"/>
        <v>13825.5</v>
      </c>
      <c r="DG74">
        <f t="shared" si="34"/>
        <v>0</v>
      </c>
      <c r="DH74">
        <f t="shared" si="35"/>
        <v>0</v>
      </c>
      <c r="DI74">
        <f t="shared" si="36"/>
        <v>0</v>
      </c>
      <c r="DJ74">
        <f t="shared" si="40"/>
        <v>13825.5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ROW(Source!A74)</f>
        <v>74</v>
      </c>
      <c r="B75">
        <v>81141517</v>
      </c>
      <c r="C75">
        <v>81141829</v>
      </c>
      <c r="D75">
        <v>80222522</v>
      </c>
      <c r="E75">
        <v>1</v>
      </c>
      <c r="F75">
        <v>1</v>
      </c>
      <c r="G75">
        <v>15514512</v>
      </c>
      <c r="H75">
        <v>3</v>
      </c>
      <c r="I75" t="s">
        <v>144</v>
      </c>
      <c r="J75" t="s">
        <v>146</v>
      </c>
      <c r="K75" t="s">
        <v>145</v>
      </c>
      <c r="L75">
        <v>1354</v>
      </c>
      <c r="N75">
        <v>1010</v>
      </c>
      <c r="O75" t="s">
        <v>18</v>
      </c>
      <c r="P75" t="s">
        <v>18</v>
      </c>
      <c r="Q75">
        <v>1</v>
      </c>
      <c r="W75">
        <v>0</v>
      </c>
      <c r="X75">
        <v>-115702678</v>
      </c>
      <c r="Y75">
        <f t="shared" si="30"/>
        <v>400</v>
      </c>
      <c r="AA75">
        <v>157.72999999999999</v>
      </c>
      <c r="AB75">
        <v>0</v>
      </c>
      <c r="AC75">
        <v>0</v>
      </c>
      <c r="AD75">
        <v>0</v>
      </c>
      <c r="AE75">
        <v>157.72999999999999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 t="s">
        <v>3</v>
      </c>
      <c r="AT75">
        <v>400</v>
      </c>
      <c r="AU75" t="s">
        <v>3</v>
      </c>
      <c r="AV75">
        <v>0</v>
      </c>
      <c r="AW75">
        <v>1</v>
      </c>
      <c r="AX75">
        <v>-1</v>
      </c>
      <c r="AY75">
        <v>0</v>
      </c>
      <c r="AZ75">
        <v>0</v>
      </c>
      <c r="BA75" t="s">
        <v>3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ROUND(Y75*Source!I74,9)</f>
        <v>260</v>
      </c>
      <c r="CY75">
        <f t="shared" si="37"/>
        <v>157.72999999999999</v>
      </c>
      <c r="CZ75">
        <f t="shared" si="38"/>
        <v>157.72999999999999</v>
      </c>
      <c r="DA75">
        <f t="shared" si="39"/>
        <v>1</v>
      </c>
      <c r="DB75">
        <f t="shared" si="31"/>
        <v>63092</v>
      </c>
      <c r="DC75">
        <f t="shared" si="32"/>
        <v>0</v>
      </c>
      <c r="DD75" t="s">
        <v>3</v>
      </c>
      <c r="DE75" t="s">
        <v>3</v>
      </c>
      <c r="DF75">
        <f t="shared" si="33"/>
        <v>41009.800000000003</v>
      </c>
      <c r="DG75">
        <f t="shared" si="34"/>
        <v>0</v>
      </c>
      <c r="DH75">
        <f t="shared" si="35"/>
        <v>0</v>
      </c>
      <c r="DI75">
        <f t="shared" si="36"/>
        <v>0</v>
      </c>
      <c r="DJ75">
        <f t="shared" si="40"/>
        <v>41009.800000000003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ROW(Source!A74)</f>
        <v>74</v>
      </c>
      <c r="B76">
        <v>81141517</v>
      </c>
      <c r="C76">
        <v>81141829</v>
      </c>
      <c r="D76">
        <v>0</v>
      </c>
      <c r="E76">
        <v>15514512</v>
      </c>
      <c r="F76">
        <v>1</v>
      </c>
      <c r="G76">
        <v>15514512</v>
      </c>
      <c r="H76">
        <v>3</v>
      </c>
      <c r="I76" t="s">
        <v>24</v>
      </c>
      <c r="J76" t="s">
        <v>3</v>
      </c>
      <c r="K76" t="s">
        <v>175</v>
      </c>
      <c r="L76">
        <v>1354</v>
      </c>
      <c r="N76">
        <v>1010</v>
      </c>
      <c r="O76" t="s">
        <v>18</v>
      </c>
      <c r="P76" t="s">
        <v>18</v>
      </c>
      <c r="Q76">
        <v>1</v>
      </c>
      <c r="W76">
        <v>0</v>
      </c>
      <c r="X76">
        <v>-378601777</v>
      </c>
      <c r="Y76">
        <f t="shared" si="30"/>
        <v>100</v>
      </c>
      <c r="AA76">
        <v>4907.99</v>
      </c>
      <c r="AB76">
        <v>0</v>
      </c>
      <c r="AC76">
        <v>0</v>
      </c>
      <c r="AD76">
        <v>0</v>
      </c>
      <c r="AE76">
        <v>4907.99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0</v>
      </c>
      <c r="AN76">
        <v>0</v>
      </c>
      <c r="AO76">
        <v>0</v>
      </c>
      <c r="AP76">
        <v>1</v>
      </c>
      <c r="AQ76">
        <v>0</v>
      </c>
      <c r="AR76">
        <v>0</v>
      </c>
      <c r="AS76" t="s">
        <v>3</v>
      </c>
      <c r="AT76">
        <v>100</v>
      </c>
      <c r="AU76" t="s">
        <v>3</v>
      </c>
      <c r="AV76">
        <v>0</v>
      </c>
      <c r="AW76">
        <v>1</v>
      </c>
      <c r="AX76">
        <v>-1</v>
      </c>
      <c r="AY76">
        <v>0</v>
      </c>
      <c r="AZ76">
        <v>0</v>
      </c>
      <c r="BA76" t="s">
        <v>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ROUND(Y76*Source!I74,9)</f>
        <v>65</v>
      </c>
      <c r="CY76">
        <f t="shared" si="37"/>
        <v>4907.99</v>
      </c>
      <c r="CZ76">
        <f t="shared" si="38"/>
        <v>4907.99</v>
      </c>
      <c r="DA76">
        <f t="shared" si="39"/>
        <v>1</v>
      </c>
      <c r="DB76">
        <f t="shared" si="31"/>
        <v>490799</v>
      </c>
      <c r="DC76">
        <f t="shared" si="32"/>
        <v>0</v>
      </c>
      <c r="DD76" t="s">
        <v>3</v>
      </c>
      <c r="DE76" t="s">
        <v>3</v>
      </c>
      <c r="DF76">
        <f t="shared" si="33"/>
        <v>319019.34999999998</v>
      </c>
      <c r="DG76">
        <f t="shared" si="34"/>
        <v>0</v>
      </c>
      <c r="DH76">
        <f t="shared" si="35"/>
        <v>0</v>
      </c>
      <c r="DI76">
        <f t="shared" si="36"/>
        <v>0</v>
      </c>
      <c r="DJ76">
        <f t="shared" si="40"/>
        <v>319019.34999999998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ROW(Source!A81)</f>
        <v>81</v>
      </c>
      <c r="B77">
        <v>81141517</v>
      </c>
      <c r="C77">
        <v>81141849</v>
      </c>
      <c r="D77">
        <v>80199986</v>
      </c>
      <c r="E77">
        <v>15514512</v>
      </c>
      <c r="F77">
        <v>1</v>
      </c>
      <c r="G77">
        <v>15514512</v>
      </c>
      <c r="H77">
        <v>1</v>
      </c>
      <c r="I77" t="s">
        <v>264</v>
      </c>
      <c r="J77" t="s">
        <v>3</v>
      </c>
      <c r="K77" t="s">
        <v>265</v>
      </c>
      <c r="L77">
        <v>1191</v>
      </c>
      <c r="N77">
        <v>1013</v>
      </c>
      <c r="O77" t="s">
        <v>266</v>
      </c>
      <c r="P77" t="s">
        <v>266</v>
      </c>
      <c r="Q77">
        <v>1</v>
      </c>
      <c r="W77">
        <v>0</v>
      </c>
      <c r="X77">
        <v>476480486</v>
      </c>
      <c r="Y77">
        <f t="shared" si="30"/>
        <v>2.37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2.37</v>
      </c>
      <c r="AU77" t="s">
        <v>3</v>
      </c>
      <c r="AV77">
        <v>1</v>
      </c>
      <c r="AW77">
        <v>2</v>
      </c>
      <c r="AX77">
        <v>81141856</v>
      </c>
      <c r="AY77">
        <v>1</v>
      </c>
      <c r="AZ77">
        <v>0</v>
      </c>
      <c r="BA77">
        <v>39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U77">
        <f>ROUND(AT77*Source!I81*AH77*AL77,2)</f>
        <v>0</v>
      </c>
      <c r="CV77">
        <f>ROUND(Y77*Source!I81,9)</f>
        <v>18.96</v>
      </c>
      <c r="CW77">
        <v>0</v>
      </c>
      <c r="CX77">
        <f>ROUND(Y77*Source!I81,9)</f>
        <v>18.96</v>
      </c>
      <c r="CY77">
        <f>AD77</f>
        <v>0</v>
      </c>
      <c r="CZ77">
        <f>AH77</f>
        <v>0</v>
      </c>
      <c r="DA77">
        <f>AL77</f>
        <v>1</v>
      </c>
      <c r="DB77">
        <f t="shared" si="31"/>
        <v>0</v>
      </c>
      <c r="DC77">
        <f t="shared" si="32"/>
        <v>0</v>
      </c>
      <c r="DD77" t="s">
        <v>3</v>
      </c>
      <c r="DE77" t="s">
        <v>3</v>
      </c>
      <c r="DF77">
        <f t="shared" si="33"/>
        <v>0</v>
      </c>
      <c r="DG77">
        <f t="shared" si="34"/>
        <v>0</v>
      </c>
      <c r="DH77">
        <f t="shared" si="35"/>
        <v>0</v>
      </c>
      <c r="DI77">
        <f t="shared" si="36"/>
        <v>0</v>
      </c>
      <c r="DJ77">
        <f>DI77</f>
        <v>0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ROW(Source!A81)</f>
        <v>81</v>
      </c>
      <c r="B78">
        <v>81141517</v>
      </c>
      <c r="C78">
        <v>81141849</v>
      </c>
      <c r="D78">
        <v>80213010</v>
      </c>
      <c r="E78">
        <v>1</v>
      </c>
      <c r="F78">
        <v>1</v>
      </c>
      <c r="G78">
        <v>15514512</v>
      </c>
      <c r="H78">
        <v>2</v>
      </c>
      <c r="I78" t="s">
        <v>267</v>
      </c>
      <c r="J78" t="s">
        <v>268</v>
      </c>
      <c r="K78" t="s">
        <v>269</v>
      </c>
      <c r="L78">
        <v>1368</v>
      </c>
      <c r="N78">
        <v>1011</v>
      </c>
      <c r="O78" t="s">
        <v>270</v>
      </c>
      <c r="P78" t="s">
        <v>270</v>
      </c>
      <c r="Q78">
        <v>1</v>
      </c>
      <c r="W78">
        <v>0</v>
      </c>
      <c r="X78">
        <v>-1120917231</v>
      </c>
      <c r="Y78">
        <f t="shared" si="30"/>
        <v>0.82</v>
      </c>
      <c r="AA78">
        <v>0</v>
      </c>
      <c r="AB78">
        <v>441.32</v>
      </c>
      <c r="AC78">
        <v>1.36</v>
      </c>
      <c r="AD78">
        <v>0</v>
      </c>
      <c r="AE78">
        <v>0</v>
      </c>
      <c r="AF78">
        <v>441.32</v>
      </c>
      <c r="AG78">
        <v>1.36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0.82</v>
      </c>
      <c r="AU78" t="s">
        <v>3</v>
      </c>
      <c r="AV78">
        <v>0</v>
      </c>
      <c r="AW78">
        <v>2</v>
      </c>
      <c r="AX78">
        <v>81141857</v>
      </c>
      <c r="AY78">
        <v>1</v>
      </c>
      <c r="AZ78">
        <v>0</v>
      </c>
      <c r="BA78">
        <v>40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f>ROUND(Y78*Source!I81*DO78,9)</f>
        <v>0</v>
      </c>
      <c r="CX78">
        <f>ROUND(Y78*Source!I81,9)</f>
        <v>6.56</v>
      </c>
      <c r="CY78">
        <f>AB78</f>
        <v>441.32</v>
      </c>
      <c r="CZ78">
        <f>AF78</f>
        <v>441.32</v>
      </c>
      <c r="DA78">
        <f>AJ78</f>
        <v>1</v>
      </c>
      <c r="DB78">
        <f t="shared" si="31"/>
        <v>361.88</v>
      </c>
      <c r="DC78">
        <f t="shared" si="32"/>
        <v>1.1200000000000001</v>
      </c>
      <c r="DD78" t="s">
        <v>3</v>
      </c>
      <c r="DE78" t="s">
        <v>3</v>
      </c>
      <c r="DF78">
        <f t="shared" si="33"/>
        <v>0</v>
      </c>
      <c r="DG78">
        <f t="shared" si="34"/>
        <v>2895.06</v>
      </c>
      <c r="DH78">
        <f t="shared" si="35"/>
        <v>8.92</v>
      </c>
      <c r="DI78">
        <f t="shared" si="36"/>
        <v>0</v>
      </c>
      <c r="DJ78">
        <f>DG78</f>
        <v>2895.06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ROW(Source!A81)</f>
        <v>81</v>
      </c>
      <c r="B79">
        <v>81141517</v>
      </c>
      <c r="C79">
        <v>81141849</v>
      </c>
      <c r="D79">
        <v>0</v>
      </c>
      <c r="E79">
        <v>0</v>
      </c>
      <c r="F79">
        <v>1</v>
      </c>
      <c r="G79">
        <v>15514512</v>
      </c>
      <c r="H79">
        <v>3</v>
      </c>
      <c r="I79" t="s">
        <v>24</v>
      </c>
      <c r="J79" t="s">
        <v>3</v>
      </c>
      <c r="K79" t="s">
        <v>179</v>
      </c>
      <c r="L79">
        <v>1354</v>
      </c>
      <c r="N79">
        <v>1010</v>
      </c>
      <c r="O79" t="s">
        <v>18</v>
      </c>
      <c r="P79" t="s">
        <v>18</v>
      </c>
      <c r="Q79">
        <v>1</v>
      </c>
      <c r="W79">
        <v>0</v>
      </c>
      <c r="X79">
        <v>1546664729</v>
      </c>
      <c r="Y79">
        <f t="shared" si="30"/>
        <v>1</v>
      </c>
      <c r="AA79">
        <v>12359.98</v>
      </c>
      <c r="AB79">
        <v>0</v>
      </c>
      <c r="AC79">
        <v>0</v>
      </c>
      <c r="AD79">
        <v>0</v>
      </c>
      <c r="AE79">
        <v>12359.98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0</v>
      </c>
      <c r="AN79">
        <v>0</v>
      </c>
      <c r="AO79">
        <v>0</v>
      </c>
      <c r="AP79">
        <v>1</v>
      </c>
      <c r="AQ79">
        <v>0</v>
      </c>
      <c r="AR79">
        <v>0</v>
      </c>
      <c r="AS79" t="s">
        <v>3</v>
      </c>
      <c r="AT79">
        <v>1</v>
      </c>
      <c r="AU79" t="s">
        <v>3</v>
      </c>
      <c r="AV79">
        <v>0</v>
      </c>
      <c r="AW79">
        <v>1</v>
      </c>
      <c r="AX79">
        <v>-1</v>
      </c>
      <c r="AY79">
        <v>0</v>
      </c>
      <c r="AZ79">
        <v>0</v>
      </c>
      <c r="BA79" t="s">
        <v>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ROUND(Y79*Source!I81,9)</f>
        <v>8</v>
      </c>
      <c r="CY79">
        <f>AA79</f>
        <v>12359.98</v>
      </c>
      <c r="CZ79">
        <f>AE79</f>
        <v>12359.98</v>
      </c>
      <c r="DA79">
        <f>AI79</f>
        <v>1</v>
      </c>
      <c r="DB79">
        <f t="shared" si="31"/>
        <v>12359.98</v>
      </c>
      <c r="DC79">
        <f t="shared" si="32"/>
        <v>0</v>
      </c>
      <c r="DD79" t="s">
        <v>3</v>
      </c>
      <c r="DE79" t="s">
        <v>3</v>
      </c>
      <c r="DF79">
        <f t="shared" si="33"/>
        <v>98879.84</v>
      </c>
      <c r="DG79">
        <f t="shared" si="34"/>
        <v>0</v>
      </c>
      <c r="DH79">
        <f t="shared" si="35"/>
        <v>0</v>
      </c>
      <c r="DI79">
        <f t="shared" si="36"/>
        <v>0</v>
      </c>
      <c r="DJ79">
        <f>DF79</f>
        <v>98879.84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ROW(Source!A83)</f>
        <v>83</v>
      </c>
      <c r="B80">
        <v>81141517</v>
      </c>
      <c r="C80">
        <v>81141861</v>
      </c>
      <c r="D80">
        <v>80199986</v>
      </c>
      <c r="E80">
        <v>15514512</v>
      </c>
      <c r="F80">
        <v>1</v>
      </c>
      <c r="G80">
        <v>15514512</v>
      </c>
      <c r="H80">
        <v>1</v>
      </c>
      <c r="I80" t="s">
        <v>264</v>
      </c>
      <c r="J80" t="s">
        <v>3</v>
      </c>
      <c r="K80" t="s">
        <v>265</v>
      </c>
      <c r="L80">
        <v>1191</v>
      </c>
      <c r="N80">
        <v>1013</v>
      </c>
      <c r="O80" t="s">
        <v>266</v>
      </c>
      <c r="P80" t="s">
        <v>266</v>
      </c>
      <c r="Q80">
        <v>1</v>
      </c>
      <c r="W80">
        <v>0</v>
      </c>
      <c r="X80">
        <v>476480486</v>
      </c>
      <c r="Y80">
        <f t="shared" si="30"/>
        <v>8.2899999999999991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8.2899999999999991</v>
      </c>
      <c r="AU80" t="s">
        <v>3</v>
      </c>
      <c r="AV80">
        <v>1</v>
      </c>
      <c r="AW80">
        <v>2</v>
      </c>
      <c r="AX80">
        <v>81141862</v>
      </c>
      <c r="AY80">
        <v>1</v>
      </c>
      <c r="AZ80">
        <v>0</v>
      </c>
      <c r="BA80">
        <v>41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U80">
        <f>ROUND(AT80*Source!I83*AH80*AL80,2)</f>
        <v>0</v>
      </c>
      <c r="CV80">
        <f>ROUND(Y80*Source!I83,9)</f>
        <v>24.87</v>
      </c>
      <c r="CW80">
        <v>0</v>
      </c>
      <c r="CX80">
        <f>ROUND(Y80*Source!I83,9)</f>
        <v>24.87</v>
      </c>
      <c r="CY80">
        <f>AD80</f>
        <v>0</v>
      </c>
      <c r="CZ80">
        <f>AH80</f>
        <v>0</v>
      </c>
      <c r="DA80">
        <f>AL80</f>
        <v>1</v>
      </c>
      <c r="DB80">
        <f t="shared" si="31"/>
        <v>0</v>
      </c>
      <c r="DC80">
        <f t="shared" si="32"/>
        <v>0</v>
      </c>
      <c r="DD80" t="s">
        <v>3</v>
      </c>
      <c r="DE80" t="s">
        <v>3</v>
      </c>
      <c r="DF80">
        <f t="shared" si="33"/>
        <v>0</v>
      </c>
      <c r="DG80">
        <f t="shared" si="34"/>
        <v>0</v>
      </c>
      <c r="DH80">
        <f t="shared" si="35"/>
        <v>0</v>
      </c>
      <c r="DI80">
        <f t="shared" si="36"/>
        <v>0</v>
      </c>
      <c r="DJ80">
        <f>DI80</f>
        <v>0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ROW(Source!A83)</f>
        <v>83</v>
      </c>
      <c r="B81">
        <v>81141517</v>
      </c>
      <c r="C81">
        <v>81141861</v>
      </c>
      <c r="D81">
        <v>0</v>
      </c>
      <c r="E81">
        <v>0</v>
      </c>
      <c r="F81">
        <v>1</v>
      </c>
      <c r="G81">
        <v>15514512</v>
      </c>
      <c r="H81">
        <v>3</v>
      </c>
      <c r="I81" t="s">
        <v>24</v>
      </c>
      <c r="J81" t="s">
        <v>3</v>
      </c>
      <c r="K81" t="s">
        <v>183</v>
      </c>
      <c r="L81">
        <v>2698</v>
      </c>
      <c r="N81">
        <v>1013</v>
      </c>
      <c r="O81" t="s">
        <v>59</v>
      </c>
      <c r="P81" t="s">
        <v>59</v>
      </c>
      <c r="Q81">
        <v>1</v>
      </c>
      <c r="W81">
        <v>0</v>
      </c>
      <c r="X81">
        <v>858739744</v>
      </c>
      <c r="Y81">
        <f t="shared" si="30"/>
        <v>1</v>
      </c>
      <c r="AA81">
        <v>16376.98</v>
      </c>
      <c r="AB81">
        <v>0</v>
      </c>
      <c r="AC81">
        <v>0</v>
      </c>
      <c r="AD81">
        <v>0</v>
      </c>
      <c r="AE81">
        <v>16376.98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0</v>
      </c>
      <c r="AN81">
        <v>0</v>
      </c>
      <c r="AO81">
        <v>0</v>
      </c>
      <c r="AP81">
        <v>1</v>
      </c>
      <c r="AQ81">
        <v>0</v>
      </c>
      <c r="AR81">
        <v>0</v>
      </c>
      <c r="AS81" t="s">
        <v>3</v>
      </c>
      <c r="AT81">
        <v>1</v>
      </c>
      <c r="AU81" t="s">
        <v>3</v>
      </c>
      <c r="AV81">
        <v>0</v>
      </c>
      <c r="AW81">
        <v>1</v>
      </c>
      <c r="AX81">
        <v>-1</v>
      </c>
      <c r="AY81">
        <v>0</v>
      </c>
      <c r="AZ81">
        <v>0</v>
      </c>
      <c r="BA81" t="s">
        <v>3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ROUND(Y81*Source!I83,9)</f>
        <v>3</v>
      </c>
      <c r="CY81">
        <f>AA81</f>
        <v>16376.98</v>
      </c>
      <c r="CZ81">
        <f>AE81</f>
        <v>16376.98</v>
      </c>
      <c r="DA81">
        <f>AI81</f>
        <v>1</v>
      </c>
      <c r="DB81">
        <f t="shared" si="31"/>
        <v>16376.98</v>
      </c>
      <c r="DC81">
        <f t="shared" si="32"/>
        <v>0</v>
      </c>
      <c r="DD81" t="s">
        <v>3</v>
      </c>
      <c r="DE81" t="s">
        <v>3</v>
      </c>
      <c r="DF81">
        <f t="shared" si="33"/>
        <v>49130.94</v>
      </c>
      <c r="DG81">
        <f t="shared" si="34"/>
        <v>0</v>
      </c>
      <c r="DH81">
        <f t="shared" si="35"/>
        <v>0</v>
      </c>
      <c r="DI81">
        <f t="shared" si="36"/>
        <v>0</v>
      </c>
      <c r="DJ81">
        <f>DF81</f>
        <v>49130.94</v>
      </c>
      <c r="DK81">
        <v>0</v>
      </c>
      <c r="DL81" t="s">
        <v>3</v>
      </c>
      <c r="DM81">
        <v>0</v>
      </c>
      <c r="DN81" t="s">
        <v>3</v>
      </c>
      <c r="DO8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7726B-3AA9-46D9-A15E-F0F5A176700A}">
  <dimension ref="A1:AR4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81141589</v>
      </c>
      <c r="C1">
        <v>81141588</v>
      </c>
      <c r="D1">
        <v>80199986</v>
      </c>
      <c r="E1">
        <v>15514512</v>
      </c>
      <c r="F1">
        <v>1</v>
      </c>
      <c r="G1">
        <v>15514512</v>
      </c>
      <c r="H1">
        <v>1</v>
      </c>
      <c r="I1" t="s">
        <v>264</v>
      </c>
      <c r="J1" t="s">
        <v>3</v>
      </c>
      <c r="K1" t="s">
        <v>265</v>
      </c>
      <c r="L1">
        <v>1191</v>
      </c>
      <c r="N1">
        <v>1013</v>
      </c>
      <c r="O1" t="s">
        <v>266</v>
      </c>
      <c r="P1" t="s">
        <v>266</v>
      </c>
      <c r="Q1">
        <v>1</v>
      </c>
      <c r="X1">
        <v>2.37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2.37</v>
      </c>
      <c r="AH1">
        <v>2</v>
      </c>
      <c r="AI1">
        <v>81141589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81141590</v>
      </c>
      <c r="C2">
        <v>81141588</v>
      </c>
      <c r="D2">
        <v>80213010</v>
      </c>
      <c r="E2">
        <v>1</v>
      </c>
      <c r="F2">
        <v>1</v>
      </c>
      <c r="G2">
        <v>15514512</v>
      </c>
      <c r="H2">
        <v>2</v>
      </c>
      <c r="I2" t="s">
        <v>267</v>
      </c>
      <c r="J2" t="s">
        <v>268</v>
      </c>
      <c r="K2" t="s">
        <v>269</v>
      </c>
      <c r="L2">
        <v>1368</v>
      </c>
      <c r="N2">
        <v>1011</v>
      </c>
      <c r="O2" t="s">
        <v>270</v>
      </c>
      <c r="P2" t="s">
        <v>270</v>
      </c>
      <c r="Q2">
        <v>1</v>
      </c>
      <c r="X2">
        <v>0.82</v>
      </c>
      <c r="Y2">
        <v>0</v>
      </c>
      <c r="Z2">
        <v>441.32</v>
      </c>
      <c r="AA2">
        <v>1.36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0.82</v>
      </c>
      <c r="AH2">
        <v>2</v>
      </c>
      <c r="AI2">
        <v>81141590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81141595</v>
      </c>
      <c r="C3">
        <v>81141594</v>
      </c>
      <c r="D3">
        <v>80199986</v>
      </c>
      <c r="E3">
        <v>15514512</v>
      </c>
      <c r="F3">
        <v>1</v>
      </c>
      <c r="G3">
        <v>15514512</v>
      </c>
      <c r="H3">
        <v>1</v>
      </c>
      <c r="I3" t="s">
        <v>264</v>
      </c>
      <c r="J3" t="s">
        <v>3</v>
      </c>
      <c r="K3" t="s">
        <v>265</v>
      </c>
      <c r="L3">
        <v>1191</v>
      </c>
      <c r="N3">
        <v>1013</v>
      </c>
      <c r="O3" t="s">
        <v>266</v>
      </c>
      <c r="P3" t="s">
        <v>266</v>
      </c>
      <c r="Q3">
        <v>1</v>
      </c>
      <c r="X3">
        <v>1.18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1.18</v>
      </c>
      <c r="AH3">
        <v>2</v>
      </c>
      <c r="AI3">
        <v>81141595</v>
      </c>
      <c r="AJ3">
        <v>4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ROW(Source!A36)</f>
        <v>36</v>
      </c>
      <c r="B4">
        <v>81141678</v>
      </c>
      <c r="C4">
        <v>81141664</v>
      </c>
      <c r="D4">
        <v>80199986</v>
      </c>
      <c r="E4">
        <v>15514512</v>
      </c>
      <c r="F4">
        <v>1</v>
      </c>
      <c r="G4">
        <v>15514512</v>
      </c>
      <c r="H4">
        <v>1</v>
      </c>
      <c r="I4" t="s">
        <v>264</v>
      </c>
      <c r="J4" t="s">
        <v>3</v>
      </c>
      <c r="K4" t="s">
        <v>265</v>
      </c>
      <c r="L4">
        <v>1191</v>
      </c>
      <c r="N4">
        <v>1013</v>
      </c>
      <c r="O4" t="s">
        <v>266</v>
      </c>
      <c r="P4" t="s">
        <v>266</v>
      </c>
      <c r="Q4">
        <v>1</v>
      </c>
      <c r="X4">
        <v>2.37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3</v>
      </c>
      <c r="AG4">
        <v>2.37</v>
      </c>
      <c r="AH4">
        <v>2</v>
      </c>
      <c r="AI4">
        <v>81141678</v>
      </c>
      <c r="AJ4">
        <v>10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ROW(Source!A36)</f>
        <v>36</v>
      </c>
      <c r="B5">
        <v>81141679</v>
      </c>
      <c r="C5">
        <v>81141664</v>
      </c>
      <c r="D5">
        <v>80212735</v>
      </c>
      <c r="E5">
        <v>1</v>
      </c>
      <c r="F5">
        <v>1</v>
      </c>
      <c r="G5">
        <v>15514512</v>
      </c>
      <c r="H5">
        <v>2</v>
      </c>
      <c r="I5" t="s">
        <v>271</v>
      </c>
      <c r="J5" t="s">
        <v>272</v>
      </c>
      <c r="K5" t="s">
        <v>273</v>
      </c>
      <c r="L5">
        <v>1368</v>
      </c>
      <c r="N5">
        <v>1011</v>
      </c>
      <c r="O5" t="s">
        <v>270</v>
      </c>
      <c r="P5" t="s">
        <v>270</v>
      </c>
      <c r="Q5">
        <v>1</v>
      </c>
      <c r="X5">
        <v>0.64</v>
      </c>
      <c r="Y5">
        <v>0</v>
      </c>
      <c r="Z5">
        <v>1994.58</v>
      </c>
      <c r="AA5">
        <v>1007.74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0.64</v>
      </c>
      <c r="AH5">
        <v>2</v>
      </c>
      <c r="AI5">
        <v>81141679</v>
      </c>
      <c r="AJ5">
        <v>11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ROW(Source!A36)</f>
        <v>36</v>
      </c>
      <c r="B6">
        <v>81141680</v>
      </c>
      <c r="C6">
        <v>81141664</v>
      </c>
      <c r="D6">
        <v>80215258</v>
      </c>
      <c r="E6">
        <v>1</v>
      </c>
      <c r="F6">
        <v>1</v>
      </c>
      <c r="G6">
        <v>15514512</v>
      </c>
      <c r="H6">
        <v>3</v>
      </c>
      <c r="I6" t="s">
        <v>274</v>
      </c>
      <c r="J6" t="s">
        <v>275</v>
      </c>
      <c r="K6" t="s">
        <v>276</v>
      </c>
      <c r="L6">
        <v>1346</v>
      </c>
      <c r="N6">
        <v>1009</v>
      </c>
      <c r="O6" t="s">
        <v>277</v>
      </c>
      <c r="P6" t="s">
        <v>277</v>
      </c>
      <c r="Q6">
        <v>1</v>
      </c>
      <c r="X6">
        <v>0.16</v>
      </c>
      <c r="Y6">
        <v>375.16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0.16</v>
      </c>
      <c r="AH6">
        <v>2</v>
      </c>
      <c r="AI6">
        <v>81141680</v>
      </c>
      <c r="AJ6">
        <v>12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ROW(Source!A36)</f>
        <v>36</v>
      </c>
      <c r="B7">
        <v>81141681</v>
      </c>
      <c r="C7">
        <v>81141664</v>
      </c>
      <c r="D7">
        <v>80222544</v>
      </c>
      <c r="E7">
        <v>1</v>
      </c>
      <c r="F7">
        <v>1</v>
      </c>
      <c r="G7">
        <v>15514512</v>
      </c>
      <c r="H7">
        <v>3</v>
      </c>
      <c r="I7" t="s">
        <v>278</v>
      </c>
      <c r="J7" t="s">
        <v>279</v>
      </c>
      <c r="K7" t="s">
        <v>280</v>
      </c>
      <c r="L7">
        <v>1301</v>
      </c>
      <c r="N7">
        <v>1003</v>
      </c>
      <c r="O7" t="s">
        <v>281</v>
      </c>
      <c r="P7" t="s">
        <v>281</v>
      </c>
      <c r="Q7">
        <v>1</v>
      </c>
      <c r="X7">
        <v>5.5</v>
      </c>
      <c r="Y7">
        <v>5.67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5.5</v>
      </c>
      <c r="AH7">
        <v>2</v>
      </c>
      <c r="AI7">
        <v>81141681</v>
      </c>
      <c r="AJ7">
        <v>13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ROW(Source!A36)</f>
        <v>36</v>
      </c>
      <c r="B8">
        <v>81141682</v>
      </c>
      <c r="C8">
        <v>81141664</v>
      </c>
      <c r="D8">
        <v>80222441</v>
      </c>
      <c r="E8">
        <v>1</v>
      </c>
      <c r="F8">
        <v>1</v>
      </c>
      <c r="G8">
        <v>15514512</v>
      </c>
      <c r="H8">
        <v>3</v>
      </c>
      <c r="I8" t="s">
        <v>282</v>
      </c>
      <c r="J8" t="s">
        <v>283</v>
      </c>
      <c r="K8" t="s">
        <v>284</v>
      </c>
      <c r="L8">
        <v>1356</v>
      </c>
      <c r="N8">
        <v>1010</v>
      </c>
      <c r="O8" t="s">
        <v>285</v>
      </c>
      <c r="P8" t="s">
        <v>285</v>
      </c>
      <c r="Q8">
        <v>1000</v>
      </c>
      <c r="X8">
        <v>5.0000000000000001E-3</v>
      </c>
      <c r="Y8">
        <v>736.04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5.0000000000000001E-3</v>
      </c>
      <c r="AH8">
        <v>2</v>
      </c>
      <c r="AI8">
        <v>81141682</v>
      </c>
      <c r="AJ8">
        <v>14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ROW(Source!A36)</f>
        <v>36</v>
      </c>
      <c r="B9">
        <v>81141683</v>
      </c>
      <c r="C9">
        <v>81141664</v>
      </c>
      <c r="D9">
        <v>80222725</v>
      </c>
      <c r="E9">
        <v>1</v>
      </c>
      <c r="F9">
        <v>1</v>
      </c>
      <c r="G9">
        <v>15514512</v>
      </c>
      <c r="H9">
        <v>3</v>
      </c>
      <c r="I9" t="s">
        <v>286</v>
      </c>
      <c r="J9" t="s">
        <v>287</v>
      </c>
      <c r="K9" t="s">
        <v>288</v>
      </c>
      <c r="L9">
        <v>1354</v>
      </c>
      <c r="N9">
        <v>1010</v>
      </c>
      <c r="O9" t="s">
        <v>18</v>
      </c>
      <c r="P9" t="s">
        <v>18</v>
      </c>
      <c r="Q9">
        <v>1</v>
      </c>
      <c r="X9">
        <v>10</v>
      </c>
      <c r="Y9">
        <v>29.18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10</v>
      </c>
      <c r="AH9">
        <v>2</v>
      </c>
      <c r="AI9">
        <v>81141683</v>
      </c>
      <c r="AJ9">
        <v>15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ROW(Source!A36)</f>
        <v>36</v>
      </c>
      <c r="B10">
        <v>81141684</v>
      </c>
      <c r="C10">
        <v>81141664</v>
      </c>
      <c r="D10">
        <v>80222756</v>
      </c>
      <c r="E10">
        <v>1</v>
      </c>
      <c r="F10">
        <v>1</v>
      </c>
      <c r="G10">
        <v>15514512</v>
      </c>
      <c r="H10">
        <v>3</v>
      </c>
      <c r="I10" t="s">
        <v>289</v>
      </c>
      <c r="J10" t="s">
        <v>290</v>
      </c>
      <c r="K10" t="s">
        <v>291</v>
      </c>
      <c r="L10">
        <v>1355</v>
      </c>
      <c r="N10">
        <v>1010</v>
      </c>
      <c r="O10" t="s">
        <v>86</v>
      </c>
      <c r="P10" t="s">
        <v>86</v>
      </c>
      <c r="Q10">
        <v>100</v>
      </c>
      <c r="X10">
        <v>0.3</v>
      </c>
      <c r="Y10">
        <v>123.58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0.3</v>
      </c>
      <c r="AH10">
        <v>2</v>
      </c>
      <c r="AI10">
        <v>81141684</v>
      </c>
      <c r="AJ10">
        <v>16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ROW(Source!A36)</f>
        <v>36</v>
      </c>
      <c r="B11">
        <v>81141685</v>
      </c>
      <c r="C11">
        <v>81141664</v>
      </c>
      <c r="D11">
        <v>80222478</v>
      </c>
      <c r="E11">
        <v>1</v>
      </c>
      <c r="F11">
        <v>1</v>
      </c>
      <c r="G11">
        <v>15514512</v>
      </c>
      <c r="H11">
        <v>3</v>
      </c>
      <c r="I11" t="s">
        <v>292</v>
      </c>
      <c r="J11" t="s">
        <v>293</v>
      </c>
      <c r="K11" t="s">
        <v>294</v>
      </c>
      <c r="L11">
        <v>1356</v>
      </c>
      <c r="N11">
        <v>1010</v>
      </c>
      <c r="O11" t="s">
        <v>285</v>
      </c>
      <c r="P11" t="s">
        <v>285</v>
      </c>
      <c r="Q11">
        <v>1000</v>
      </c>
      <c r="X11">
        <v>0.02</v>
      </c>
      <c r="Y11">
        <v>238.4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0.02</v>
      </c>
      <c r="AH11">
        <v>2</v>
      </c>
      <c r="AI11">
        <v>81141685</v>
      </c>
      <c r="AJ11">
        <v>17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ROW(Source!A36)</f>
        <v>36</v>
      </c>
      <c r="B12">
        <v>81141686</v>
      </c>
      <c r="C12">
        <v>81141664</v>
      </c>
      <c r="D12">
        <v>80223815</v>
      </c>
      <c r="E12">
        <v>1</v>
      </c>
      <c r="F12">
        <v>1</v>
      </c>
      <c r="G12">
        <v>15514512</v>
      </c>
      <c r="H12">
        <v>3</v>
      </c>
      <c r="I12" t="s">
        <v>53</v>
      </c>
      <c r="J12" t="s">
        <v>56</v>
      </c>
      <c r="K12" t="s">
        <v>54</v>
      </c>
      <c r="L12">
        <v>1303</v>
      </c>
      <c r="N12">
        <v>1003</v>
      </c>
      <c r="O12" t="s">
        <v>55</v>
      </c>
      <c r="P12" t="s">
        <v>55</v>
      </c>
      <c r="Q12">
        <v>1000</v>
      </c>
      <c r="X12">
        <v>0.10299999999999999</v>
      </c>
      <c r="Y12">
        <v>167820.34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0.10299999999999999</v>
      </c>
      <c r="AH12">
        <v>2</v>
      </c>
      <c r="AI12">
        <v>81141686</v>
      </c>
      <c r="AJ12">
        <v>18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ROW(Source!A39)</f>
        <v>39</v>
      </c>
      <c r="B13">
        <v>81141692</v>
      </c>
      <c r="C13">
        <v>81141691</v>
      </c>
      <c r="D13">
        <v>80199986</v>
      </c>
      <c r="E13">
        <v>15514512</v>
      </c>
      <c r="F13">
        <v>1</v>
      </c>
      <c r="G13">
        <v>15514512</v>
      </c>
      <c r="H13">
        <v>1</v>
      </c>
      <c r="I13" t="s">
        <v>264</v>
      </c>
      <c r="J13" t="s">
        <v>3</v>
      </c>
      <c r="K13" t="s">
        <v>265</v>
      </c>
      <c r="L13">
        <v>1191</v>
      </c>
      <c r="N13">
        <v>1013</v>
      </c>
      <c r="O13" t="s">
        <v>266</v>
      </c>
      <c r="P13" t="s">
        <v>266</v>
      </c>
      <c r="Q13">
        <v>1</v>
      </c>
      <c r="X13">
        <v>17.260000000000002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3</v>
      </c>
      <c r="AG13">
        <v>17.260000000000002</v>
      </c>
      <c r="AH13">
        <v>2</v>
      </c>
      <c r="AI13">
        <v>81141692</v>
      </c>
      <c r="AJ13">
        <v>20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ROW(Source!A39)</f>
        <v>39</v>
      </c>
      <c r="B14">
        <v>81141693</v>
      </c>
      <c r="C14">
        <v>81141691</v>
      </c>
      <c r="D14">
        <v>80213448</v>
      </c>
      <c r="E14">
        <v>1</v>
      </c>
      <c r="F14">
        <v>1</v>
      </c>
      <c r="G14">
        <v>15514512</v>
      </c>
      <c r="H14">
        <v>2</v>
      </c>
      <c r="I14" t="s">
        <v>295</v>
      </c>
      <c r="J14" t="s">
        <v>296</v>
      </c>
      <c r="K14" t="s">
        <v>297</v>
      </c>
      <c r="L14">
        <v>1368</v>
      </c>
      <c r="N14">
        <v>1011</v>
      </c>
      <c r="O14" t="s">
        <v>270</v>
      </c>
      <c r="P14" t="s">
        <v>270</v>
      </c>
      <c r="Q14">
        <v>1</v>
      </c>
      <c r="X14">
        <v>4.8499999999999996</v>
      </c>
      <c r="Y14">
        <v>0</v>
      </c>
      <c r="Z14">
        <v>9.8000000000000007</v>
      </c>
      <c r="AA14">
        <v>0.11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4.8499999999999996</v>
      </c>
      <c r="AH14">
        <v>2</v>
      </c>
      <c r="AI14">
        <v>81141693</v>
      </c>
      <c r="AJ14">
        <v>21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ROW(Source!A39)</f>
        <v>39</v>
      </c>
      <c r="B15">
        <v>81141694</v>
      </c>
      <c r="C15">
        <v>81141691</v>
      </c>
      <c r="D15">
        <v>80213412</v>
      </c>
      <c r="E15">
        <v>1</v>
      </c>
      <c r="F15">
        <v>1</v>
      </c>
      <c r="G15">
        <v>15514512</v>
      </c>
      <c r="H15">
        <v>2</v>
      </c>
      <c r="I15" t="s">
        <v>298</v>
      </c>
      <c r="J15" t="s">
        <v>299</v>
      </c>
      <c r="K15" t="s">
        <v>300</v>
      </c>
      <c r="L15">
        <v>1368</v>
      </c>
      <c r="N15">
        <v>1011</v>
      </c>
      <c r="O15" t="s">
        <v>270</v>
      </c>
      <c r="P15" t="s">
        <v>270</v>
      </c>
      <c r="Q15">
        <v>1</v>
      </c>
      <c r="X15">
        <v>0.48</v>
      </c>
      <c r="Y15">
        <v>0</v>
      </c>
      <c r="Z15">
        <v>10.66</v>
      </c>
      <c r="AA15">
        <v>0.12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0.48</v>
      </c>
      <c r="AH15">
        <v>2</v>
      </c>
      <c r="AI15">
        <v>81141694</v>
      </c>
      <c r="AJ15">
        <v>22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ROW(Source!A39)</f>
        <v>39</v>
      </c>
      <c r="B16">
        <v>81141695</v>
      </c>
      <c r="C16">
        <v>81141691</v>
      </c>
      <c r="D16">
        <v>80214598</v>
      </c>
      <c r="E16">
        <v>1</v>
      </c>
      <c r="F16">
        <v>1</v>
      </c>
      <c r="G16">
        <v>15514512</v>
      </c>
      <c r="H16">
        <v>3</v>
      </c>
      <c r="I16" t="s">
        <v>301</v>
      </c>
      <c r="J16" t="s">
        <v>302</v>
      </c>
      <c r="K16" t="s">
        <v>303</v>
      </c>
      <c r="L16">
        <v>1348</v>
      </c>
      <c r="N16">
        <v>1009</v>
      </c>
      <c r="O16" t="s">
        <v>304</v>
      </c>
      <c r="P16" t="s">
        <v>304</v>
      </c>
      <c r="Q16">
        <v>1000</v>
      </c>
      <c r="X16">
        <v>2.2200000000000002E-3</v>
      </c>
      <c r="Y16">
        <v>206408.91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2.2200000000000002E-3</v>
      </c>
      <c r="AH16">
        <v>2</v>
      </c>
      <c r="AI16">
        <v>81141695</v>
      </c>
      <c r="AJ16">
        <v>23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ROW(Source!A39)</f>
        <v>39</v>
      </c>
      <c r="B17">
        <v>81141696</v>
      </c>
      <c r="C17">
        <v>81141691</v>
      </c>
      <c r="D17">
        <v>80214688</v>
      </c>
      <c r="E17">
        <v>1</v>
      </c>
      <c r="F17">
        <v>1</v>
      </c>
      <c r="G17">
        <v>15514512</v>
      </c>
      <c r="H17">
        <v>3</v>
      </c>
      <c r="I17" t="s">
        <v>305</v>
      </c>
      <c r="J17" t="s">
        <v>306</v>
      </c>
      <c r="K17" t="s">
        <v>307</v>
      </c>
      <c r="L17">
        <v>1354</v>
      </c>
      <c r="N17">
        <v>1010</v>
      </c>
      <c r="O17" t="s">
        <v>18</v>
      </c>
      <c r="P17" t="s">
        <v>18</v>
      </c>
      <c r="Q17">
        <v>1</v>
      </c>
      <c r="X17">
        <v>120</v>
      </c>
      <c r="Y17">
        <v>1.4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120</v>
      </c>
      <c r="AH17">
        <v>2</v>
      </c>
      <c r="AI17">
        <v>81141696</v>
      </c>
      <c r="AJ17">
        <v>24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ROW(Source!A39)</f>
        <v>39</v>
      </c>
      <c r="B18">
        <v>81141697</v>
      </c>
      <c r="C18">
        <v>81141691</v>
      </c>
      <c r="D18">
        <v>80219540</v>
      </c>
      <c r="E18">
        <v>1</v>
      </c>
      <c r="F18">
        <v>1</v>
      </c>
      <c r="G18">
        <v>15514512</v>
      </c>
      <c r="H18">
        <v>3</v>
      </c>
      <c r="I18" t="s">
        <v>308</v>
      </c>
      <c r="J18" t="s">
        <v>309</v>
      </c>
      <c r="K18" t="s">
        <v>310</v>
      </c>
      <c r="L18">
        <v>1301</v>
      </c>
      <c r="N18">
        <v>1003</v>
      </c>
      <c r="O18" t="s">
        <v>281</v>
      </c>
      <c r="P18" t="s">
        <v>281</v>
      </c>
      <c r="Q18">
        <v>1</v>
      </c>
      <c r="X18">
        <v>102</v>
      </c>
      <c r="Y18">
        <v>20.21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102</v>
      </c>
      <c r="AH18">
        <v>2</v>
      </c>
      <c r="AI18">
        <v>81141697</v>
      </c>
      <c r="AJ18">
        <v>25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ROW(Source!A39)</f>
        <v>39</v>
      </c>
      <c r="B19">
        <v>81141698</v>
      </c>
      <c r="C19">
        <v>81141691</v>
      </c>
      <c r="D19">
        <v>80222772</v>
      </c>
      <c r="E19">
        <v>1</v>
      </c>
      <c r="F19">
        <v>1</v>
      </c>
      <c r="G19">
        <v>15514512</v>
      </c>
      <c r="H19">
        <v>3</v>
      </c>
      <c r="I19" t="s">
        <v>311</v>
      </c>
      <c r="J19" t="s">
        <v>312</v>
      </c>
      <c r="K19" t="s">
        <v>313</v>
      </c>
      <c r="L19">
        <v>1355</v>
      </c>
      <c r="N19">
        <v>1010</v>
      </c>
      <c r="O19" t="s">
        <v>86</v>
      </c>
      <c r="P19" t="s">
        <v>86</v>
      </c>
      <c r="Q19">
        <v>100</v>
      </c>
      <c r="X19">
        <v>1</v>
      </c>
      <c r="Y19">
        <v>311.19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1</v>
      </c>
      <c r="AH19">
        <v>2</v>
      </c>
      <c r="AI19">
        <v>81141698</v>
      </c>
      <c r="AJ19">
        <v>26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ROW(Source!A39)</f>
        <v>39</v>
      </c>
      <c r="B20">
        <v>81141699</v>
      </c>
      <c r="C20">
        <v>81141691</v>
      </c>
      <c r="D20">
        <v>80222494</v>
      </c>
      <c r="E20">
        <v>1</v>
      </c>
      <c r="F20">
        <v>1</v>
      </c>
      <c r="G20">
        <v>15514512</v>
      </c>
      <c r="H20">
        <v>3</v>
      </c>
      <c r="I20" t="s">
        <v>70</v>
      </c>
      <c r="J20" t="s">
        <v>72</v>
      </c>
      <c r="K20" t="s">
        <v>71</v>
      </c>
      <c r="L20">
        <v>1354</v>
      </c>
      <c r="N20">
        <v>1010</v>
      </c>
      <c r="O20" t="s">
        <v>18</v>
      </c>
      <c r="P20" t="s">
        <v>18</v>
      </c>
      <c r="Q20">
        <v>1</v>
      </c>
      <c r="X20">
        <v>5</v>
      </c>
      <c r="Y20">
        <v>57.31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5</v>
      </c>
      <c r="AH20">
        <v>2</v>
      </c>
      <c r="AI20">
        <v>81141699</v>
      </c>
      <c r="AJ20">
        <v>27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ROW(Source!A39)</f>
        <v>39</v>
      </c>
      <c r="B21">
        <v>81141700</v>
      </c>
      <c r="C21">
        <v>81141691</v>
      </c>
      <c r="D21">
        <v>80217811</v>
      </c>
      <c r="E21">
        <v>1</v>
      </c>
      <c r="F21">
        <v>1</v>
      </c>
      <c r="G21">
        <v>15514512</v>
      </c>
      <c r="H21">
        <v>3</v>
      </c>
      <c r="I21" t="s">
        <v>314</v>
      </c>
      <c r="J21" t="s">
        <v>315</v>
      </c>
      <c r="K21" t="s">
        <v>316</v>
      </c>
      <c r="L21">
        <v>1354</v>
      </c>
      <c r="N21">
        <v>1010</v>
      </c>
      <c r="O21" t="s">
        <v>18</v>
      </c>
      <c r="P21" t="s">
        <v>18</v>
      </c>
      <c r="Q21">
        <v>1</v>
      </c>
      <c r="X21">
        <v>1.5</v>
      </c>
      <c r="Y21">
        <v>352.88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1.5</v>
      </c>
      <c r="AH21">
        <v>2</v>
      </c>
      <c r="AI21">
        <v>81141700</v>
      </c>
      <c r="AJ21">
        <v>29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ROW(Source!A42)</f>
        <v>42</v>
      </c>
      <c r="B22">
        <v>81141705</v>
      </c>
      <c r="C22">
        <v>81141704</v>
      </c>
      <c r="D22">
        <v>80199986</v>
      </c>
      <c r="E22">
        <v>15514512</v>
      </c>
      <c r="F22">
        <v>1</v>
      </c>
      <c r="G22">
        <v>15514512</v>
      </c>
      <c r="H22">
        <v>1</v>
      </c>
      <c r="I22" t="s">
        <v>264</v>
      </c>
      <c r="J22" t="s">
        <v>3</v>
      </c>
      <c r="K22" t="s">
        <v>265</v>
      </c>
      <c r="L22">
        <v>1191</v>
      </c>
      <c r="N22">
        <v>1013</v>
      </c>
      <c r="O22" t="s">
        <v>266</v>
      </c>
      <c r="P22" t="s">
        <v>266</v>
      </c>
      <c r="Q22">
        <v>1</v>
      </c>
      <c r="X22">
        <v>8.2899999999999991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1</v>
      </c>
      <c r="AF22" t="s">
        <v>3</v>
      </c>
      <c r="AG22">
        <v>8.2899999999999991</v>
      </c>
      <c r="AH22">
        <v>2</v>
      </c>
      <c r="AI22">
        <v>81141705</v>
      </c>
      <c r="AJ22">
        <v>30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ROW(Source!A45)</f>
        <v>45</v>
      </c>
      <c r="B23">
        <v>81141713</v>
      </c>
      <c r="C23">
        <v>81141712</v>
      </c>
      <c r="D23">
        <v>80199986</v>
      </c>
      <c r="E23">
        <v>15514512</v>
      </c>
      <c r="F23">
        <v>1</v>
      </c>
      <c r="G23">
        <v>15514512</v>
      </c>
      <c r="H23">
        <v>1</v>
      </c>
      <c r="I23" t="s">
        <v>264</v>
      </c>
      <c r="J23" t="s">
        <v>3</v>
      </c>
      <c r="K23" t="s">
        <v>265</v>
      </c>
      <c r="L23">
        <v>1191</v>
      </c>
      <c r="N23">
        <v>1013</v>
      </c>
      <c r="O23" t="s">
        <v>266</v>
      </c>
      <c r="P23" t="s">
        <v>266</v>
      </c>
      <c r="Q23">
        <v>1</v>
      </c>
      <c r="X23">
        <v>247.25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3</v>
      </c>
      <c r="AG23">
        <v>247.25</v>
      </c>
      <c r="AH23">
        <v>2</v>
      </c>
      <c r="AI23">
        <v>81141713</v>
      </c>
      <c r="AJ23">
        <v>33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ROW(Source!A51)</f>
        <v>51</v>
      </c>
      <c r="B24">
        <v>81141734</v>
      </c>
      <c r="C24">
        <v>81141729</v>
      </c>
      <c r="D24">
        <v>80199986</v>
      </c>
      <c r="E24">
        <v>15514512</v>
      </c>
      <c r="F24">
        <v>1</v>
      </c>
      <c r="G24">
        <v>15514512</v>
      </c>
      <c r="H24">
        <v>1</v>
      </c>
      <c r="I24" t="s">
        <v>264</v>
      </c>
      <c r="J24" t="s">
        <v>3</v>
      </c>
      <c r="K24" t="s">
        <v>265</v>
      </c>
      <c r="L24">
        <v>1191</v>
      </c>
      <c r="N24">
        <v>1013</v>
      </c>
      <c r="O24" t="s">
        <v>266</v>
      </c>
      <c r="P24" t="s">
        <v>266</v>
      </c>
      <c r="Q24">
        <v>1</v>
      </c>
      <c r="X24">
        <v>1.18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1.18</v>
      </c>
      <c r="AH24">
        <v>2</v>
      </c>
      <c r="AI24">
        <v>81141734</v>
      </c>
      <c r="AJ24">
        <v>39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ROW(Source!A54)</f>
        <v>54</v>
      </c>
      <c r="B25">
        <v>81141744</v>
      </c>
      <c r="C25">
        <v>81141743</v>
      </c>
      <c r="D25">
        <v>80199986</v>
      </c>
      <c r="E25">
        <v>15514512</v>
      </c>
      <c r="F25">
        <v>1</v>
      </c>
      <c r="G25">
        <v>15514512</v>
      </c>
      <c r="H25">
        <v>1</v>
      </c>
      <c r="I25" t="s">
        <v>264</v>
      </c>
      <c r="J25" t="s">
        <v>3</v>
      </c>
      <c r="K25" t="s">
        <v>265</v>
      </c>
      <c r="L25">
        <v>1191</v>
      </c>
      <c r="N25">
        <v>1013</v>
      </c>
      <c r="O25" t="s">
        <v>266</v>
      </c>
      <c r="P25" t="s">
        <v>266</v>
      </c>
      <c r="Q25">
        <v>1</v>
      </c>
      <c r="X25">
        <v>20.7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3</v>
      </c>
      <c r="AG25">
        <v>20.7</v>
      </c>
      <c r="AH25">
        <v>2</v>
      </c>
      <c r="AI25">
        <v>81141744</v>
      </c>
      <c r="AJ25">
        <v>42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ROW(Source!A54)</f>
        <v>54</v>
      </c>
      <c r="B26">
        <v>81141745</v>
      </c>
      <c r="C26">
        <v>81141743</v>
      </c>
      <c r="D26">
        <v>80212737</v>
      </c>
      <c r="E26">
        <v>1</v>
      </c>
      <c r="F26">
        <v>1</v>
      </c>
      <c r="G26">
        <v>15514512</v>
      </c>
      <c r="H26">
        <v>2</v>
      </c>
      <c r="I26" t="s">
        <v>317</v>
      </c>
      <c r="J26" t="s">
        <v>318</v>
      </c>
      <c r="K26" t="s">
        <v>319</v>
      </c>
      <c r="L26">
        <v>1368</v>
      </c>
      <c r="N26">
        <v>1011</v>
      </c>
      <c r="O26" t="s">
        <v>270</v>
      </c>
      <c r="P26" t="s">
        <v>270</v>
      </c>
      <c r="Q26">
        <v>1</v>
      </c>
      <c r="X26">
        <v>7.5</v>
      </c>
      <c r="Y26">
        <v>0</v>
      </c>
      <c r="Z26">
        <v>3309.74</v>
      </c>
      <c r="AA26">
        <v>1151.8800000000001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7.5</v>
      </c>
      <c r="AH26">
        <v>2</v>
      </c>
      <c r="AI26">
        <v>81141745</v>
      </c>
      <c r="AJ26">
        <v>43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ROW(Source!A56)</f>
        <v>56</v>
      </c>
      <c r="B27">
        <v>81141751</v>
      </c>
      <c r="C27">
        <v>81141750</v>
      </c>
      <c r="D27">
        <v>80199986</v>
      </c>
      <c r="E27">
        <v>15514512</v>
      </c>
      <c r="F27">
        <v>1</v>
      </c>
      <c r="G27">
        <v>15514512</v>
      </c>
      <c r="H27">
        <v>1</v>
      </c>
      <c r="I27" t="s">
        <v>264</v>
      </c>
      <c r="J27" t="s">
        <v>3</v>
      </c>
      <c r="K27" t="s">
        <v>265</v>
      </c>
      <c r="L27">
        <v>1191</v>
      </c>
      <c r="N27">
        <v>1013</v>
      </c>
      <c r="O27" t="s">
        <v>266</v>
      </c>
      <c r="P27" t="s">
        <v>266</v>
      </c>
      <c r="Q27">
        <v>1</v>
      </c>
      <c r="X27">
        <v>20.7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3</v>
      </c>
      <c r="AG27">
        <v>20.7</v>
      </c>
      <c r="AH27">
        <v>2</v>
      </c>
      <c r="AI27">
        <v>81141751</v>
      </c>
      <c r="AJ27">
        <v>45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ROW(Source!A56)</f>
        <v>56</v>
      </c>
      <c r="B28">
        <v>81141752</v>
      </c>
      <c r="C28">
        <v>81141750</v>
      </c>
      <c r="D28">
        <v>80212737</v>
      </c>
      <c r="E28">
        <v>1</v>
      </c>
      <c r="F28">
        <v>1</v>
      </c>
      <c r="G28">
        <v>15514512</v>
      </c>
      <c r="H28">
        <v>2</v>
      </c>
      <c r="I28" t="s">
        <v>317</v>
      </c>
      <c r="J28" t="s">
        <v>318</v>
      </c>
      <c r="K28" t="s">
        <v>319</v>
      </c>
      <c r="L28">
        <v>1368</v>
      </c>
      <c r="N28">
        <v>1011</v>
      </c>
      <c r="O28" t="s">
        <v>270</v>
      </c>
      <c r="P28" t="s">
        <v>270</v>
      </c>
      <c r="Q28">
        <v>1</v>
      </c>
      <c r="X28">
        <v>7.5</v>
      </c>
      <c r="Y28">
        <v>0</v>
      </c>
      <c r="Z28">
        <v>3309.74</v>
      </c>
      <c r="AA28">
        <v>1151.8800000000001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7.5</v>
      </c>
      <c r="AH28">
        <v>2</v>
      </c>
      <c r="AI28">
        <v>81141752</v>
      </c>
      <c r="AJ28">
        <v>46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ROW(Source!A58)</f>
        <v>58</v>
      </c>
      <c r="B29">
        <v>81141763</v>
      </c>
      <c r="C29">
        <v>81141756</v>
      </c>
      <c r="D29">
        <v>80199986</v>
      </c>
      <c r="E29">
        <v>15514512</v>
      </c>
      <c r="F29">
        <v>1</v>
      </c>
      <c r="G29">
        <v>15514512</v>
      </c>
      <c r="H29">
        <v>1</v>
      </c>
      <c r="I29" t="s">
        <v>264</v>
      </c>
      <c r="J29" t="s">
        <v>3</v>
      </c>
      <c r="K29" t="s">
        <v>265</v>
      </c>
      <c r="L29">
        <v>1191</v>
      </c>
      <c r="N29">
        <v>1013</v>
      </c>
      <c r="O29" t="s">
        <v>266</v>
      </c>
      <c r="P29" t="s">
        <v>266</v>
      </c>
      <c r="Q29">
        <v>1</v>
      </c>
      <c r="X29">
        <v>1.18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3</v>
      </c>
      <c r="AG29">
        <v>1.18</v>
      </c>
      <c r="AH29">
        <v>2</v>
      </c>
      <c r="AI29">
        <v>81141763</v>
      </c>
      <c r="AJ29">
        <v>48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ROW(Source!A60)</f>
        <v>60</v>
      </c>
      <c r="B30">
        <v>81141775</v>
      </c>
      <c r="C30">
        <v>81141774</v>
      </c>
      <c r="D30">
        <v>80199986</v>
      </c>
      <c r="E30">
        <v>15514512</v>
      </c>
      <c r="F30">
        <v>1</v>
      </c>
      <c r="G30">
        <v>15514512</v>
      </c>
      <c r="H30">
        <v>1</v>
      </c>
      <c r="I30" t="s">
        <v>264</v>
      </c>
      <c r="J30" t="s">
        <v>3</v>
      </c>
      <c r="K30" t="s">
        <v>265</v>
      </c>
      <c r="L30">
        <v>1191</v>
      </c>
      <c r="N30">
        <v>1013</v>
      </c>
      <c r="O30" t="s">
        <v>266</v>
      </c>
      <c r="P30" t="s">
        <v>266</v>
      </c>
      <c r="Q30">
        <v>1</v>
      </c>
      <c r="X30">
        <v>379.5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3</v>
      </c>
      <c r="AG30">
        <v>379.5</v>
      </c>
      <c r="AH30">
        <v>2</v>
      </c>
      <c r="AI30">
        <v>81141775</v>
      </c>
      <c r="AJ30">
        <v>50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ROW(Source!A60)</f>
        <v>60</v>
      </c>
      <c r="B31">
        <v>81141776</v>
      </c>
      <c r="C31">
        <v>81141774</v>
      </c>
      <c r="D31">
        <v>80213010</v>
      </c>
      <c r="E31">
        <v>1</v>
      </c>
      <c r="F31">
        <v>1</v>
      </c>
      <c r="G31">
        <v>15514512</v>
      </c>
      <c r="H31">
        <v>2</v>
      </c>
      <c r="I31" t="s">
        <v>267</v>
      </c>
      <c r="J31" t="s">
        <v>268</v>
      </c>
      <c r="K31" t="s">
        <v>269</v>
      </c>
      <c r="L31">
        <v>1368</v>
      </c>
      <c r="N31">
        <v>1011</v>
      </c>
      <c r="O31" t="s">
        <v>270</v>
      </c>
      <c r="P31" t="s">
        <v>270</v>
      </c>
      <c r="Q31">
        <v>1</v>
      </c>
      <c r="X31">
        <v>14.38</v>
      </c>
      <c r="Y31">
        <v>0</v>
      </c>
      <c r="Z31">
        <v>441.32</v>
      </c>
      <c r="AA31">
        <v>1.36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14.38</v>
      </c>
      <c r="AH31">
        <v>2</v>
      </c>
      <c r="AI31">
        <v>81141776</v>
      </c>
      <c r="AJ31">
        <v>51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ROW(Source!A60)</f>
        <v>60</v>
      </c>
      <c r="B32">
        <v>81141777</v>
      </c>
      <c r="C32">
        <v>81141774</v>
      </c>
      <c r="D32">
        <v>80212735</v>
      </c>
      <c r="E32">
        <v>1</v>
      </c>
      <c r="F32">
        <v>1</v>
      </c>
      <c r="G32">
        <v>15514512</v>
      </c>
      <c r="H32">
        <v>2</v>
      </c>
      <c r="I32" t="s">
        <v>271</v>
      </c>
      <c r="J32" t="s">
        <v>272</v>
      </c>
      <c r="K32" t="s">
        <v>273</v>
      </c>
      <c r="L32">
        <v>1368</v>
      </c>
      <c r="N32">
        <v>1011</v>
      </c>
      <c r="O32" t="s">
        <v>270</v>
      </c>
      <c r="P32" t="s">
        <v>270</v>
      </c>
      <c r="Q32">
        <v>1</v>
      </c>
      <c r="X32">
        <v>168.75</v>
      </c>
      <c r="Y32">
        <v>0</v>
      </c>
      <c r="Z32">
        <v>1994.58</v>
      </c>
      <c r="AA32">
        <v>1007.74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168.75</v>
      </c>
      <c r="AH32">
        <v>2</v>
      </c>
      <c r="AI32">
        <v>81141777</v>
      </c>
      <c r="AJ32">
        <v>52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ROW(Source!A67)</f>
        <v>67</v>
      </c>
      <c r="B33">
        <v>81141819</v>
      </c>
      <c r="C33">
        <v>81141809</v>
      </c>
      <c r="D33">
        <v>80199986</v>
      </c>
      <c r="E33">
        <v>15514512</v>
      </c>
      <c r="F33">
        <v>1</v>
      </c>
      <c r="G33">
        <v>15514512</v>
      </c>
      <c r="H33">
        <v>1</v>
      </c>
      <c r="I33" t="s">
        <v>264</v>
      </c>
      <c r="J33" t="s">
        <v>3</v>
      </c>
      <c r="K33" t="s">
        <v>265</v>
      </c>
      <c r="L33">
        <v>1191</v>
      </c>
      <c r="N33">
        <v>1013</v>
      </c>
      <c r="O33" t="s">
        <v>266</v>
      </c>
      <c r="P33" t="s">
        <v>266</v>
      </c>
      <c r="Q33">
        <v>1</v>
      </c>
      <c r="X33">
        <v>379.5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3</v>
      </c>
      <c r="AG33">
        <v>379.5</v>
      </c>
      <c r="AH33">
        <v>2</v>
      </c>
      <c r="AI33">
        <v>81141810</v>
      </c>
      <c r="AJ33">
        <v>59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ROW(Source!A67)</f>
        <v>67</v>
      </c>
      <c r="B34">
        <v>81141820</v>
      </c>
      <c r="C34">
        <v>81141809</v>
      </c>
      <c r="D34">
        <v>80213010</v>
      </c>
      <c r="E34">
        <v>1</v>
      </c>
      <c r="F34">
        <v>1</v>
      </c>
      <c r="G34">
        <v>15514512</v>
      </c>
      <c r="H34">
        <v>2</v>
      </c>
      <c r="I34" t="s">
        <v>267</v>
      </c>
      <c r="J34" t="s">
        <v>268</v>
      </c>
      <c r="K34" t="s">
        <v>269</v>
      </c>
      <c r="L34">
        <v>1368</v>
      </c>
      <c r="N34">
        <v>1011</v>
      </c>
      <c r="O34" t="s">
        <v>270</v>
      </c>
      <c r="P34" t="s">
        <v>270</v>
      </c>
      <c r="Q34">
        <v>1</v>
      </c>
      <c r="X34">
        <v>14.38</v>
      </c>
      <c r="Y34">
        <v>0</v>
      </c>
      <c r="Z34">
        <v>441.32</v>
      </c>
      <c r="AA34">
        <v>1.36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14.38</v>
      </c>
      <c r="AH34">
        <v>2</v>
      </c>
      <c r="AI34">
        <v>81141811</v>
      </c>
      <c r="AJ34">
        <v>60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ROW(Source!A67)</f>
        <v>67</v>
      </c>
      <c r="B35">
        <v>81141821</v>
      </c>
      <c r="C35">
        <v>81141809</v>
      </c>
      <c r="D35">
        <v>80212735</v>
      </c>
      <c r="E35">
        <v>1</v>
      </c>
      <c r="F35">
        <v>1</v>
      </c>
      <c r="G35">
        <v>15514512</v>
      </c>
      <c r="H35">
        <v>2</v>
      </c>
      <c r="I35" t="s">
        <v>271</v>
      </c>
      <c r="J35" t="s">
        <v>272</v>
      </c>
      <c r="K35" t="s">
        <v>273</v>
      </c>
      <c r="L35">
        <v>1368</v>
      </c>
      <c r="N35">
        <v>1011</v>
      </c>
      <c r="O35" t="s">
        <v>270</v>
      </c>
      <c r="P35" t="s">
        <v>270</v>
      </c>
      <c r="Q35">
        <v>1</v>
      </c>
      <c r="X35">
        <v>168.75</v>
      </c>
      <c r="Y35">
        <v>0</v>
      </c>
      <c r="Z35">
        <v>1994.58</v>
      </c>
      <c r="AA35">
        <v>1007.74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168.75</v>
      </c>
      <c r="AH35">
        <v>2</v>
      </c>
      <c r="AI35">
        <v>81141812</v>
      </c>
      <c r="AJ35">
        <v>61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ROW(Source!A74)</f>
        <v>74</v>
      </c>
      <c r="B36">
        <v>81141839</v>
      </c>
      <c r="C36">
        <v>81141829</v>
      </c>
      <c r="D36">
        <v>80199986</v>
      </c>
      <c r="E36">
        <v>15514512</v>
      </c>
      <c r="F36">
        <v>1</v>
      </c>
      <c r="G36">
        <v>15514512</v>
      </c>
      <c r="H36">
        <v>1</v>
      </c>
      <c r="I36" t="s">
        <v>264</v>
      </c>
      <c r="J36" t="s">
        <v>3</v>
      </c>
      <c r="K36" t="s">
        <v>265</v>
      </c>
      <c r="L36">
        <v>1191</v>
      </c>
      <c r="N36">
        <v>1013</v>
      </c>
      <c r="O36" t="s">
        <v>266</v>
      </c>
      <c r="P36" t="s">
        <v>266</v>
      </c>
      <c r="Q36">
        <v>1</v>
      </c>
      <c r="X36">
        <v>379.5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3</v>
      </c>
      <c r="AG36">
        <v>379.5</v>
      </c>
      <c r="AH36">
        <v>2</v>
      </c>
      <c r="AI36">
        <v>81141830</v>
      </c>
      <c r="AJ36">
        <v>68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ROW(Source!A74)</f>
        <v>74</v>
      </c>
      <c r="B37">
        <v>81141840</v>
      </c>
      <c r="C37">
        <v>81141829</v>
      </c>
      <c r="D37">
        <v>80213010</v>
      </c>
      <c r="E37">
        <v>1</v>
      </c>
      <c r="F37">
        <v>1</v>
      </c>
      <c r="G37">
        <v>15514512</v>
      </c>
      <c r="H37">
        <v>2</v>
      </c>
      <c r="I37" t="s">
        <v>267</v>
      </c>
      <c r="J37" t="s">
        <v>268</v>
      </c>
      <c r="K37" t="s">
        <v>269</v>
      </c>
      <c r="L37">
        <v>1368</v>
      </c>
      <c r="N37">
        <v>1011</v>
      </c>
      <c r="O37" t="s">
        <v>270</v>
      </c>
      <c r="P37" t="s">
        <v>270</v>
      </c>
      <c r="Q37">
        <v>1</v>
      </c>
      <c r="X37">
        <v>14.38</v>
      </c>
      <c r="Y37">
        <v>0</v>
      </c>
      <c r="Z37">
        <v>441.32</v>
      </c>
      <c r="AA37">
        <v>1.36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14.38</v>
      </c>
      <c r="AH37">
        <v>2</v>
      </c>
      <c r="AI37">
        <v>81141831</v>
      </c>
      <c r="AJ37">
        <v>69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ROW(Source!A74)</f>
        <v>74</v>
      </c>
      <c r="B38">
        <v>81141841</v>
      </c>
      <c r="C38">
        <v>81141829</v>
      </c>
      <c r="D38">
        <v>80212735</v>
      </c>
      <c r="E38">
        <v>1</v>
      </c>
      <c r="F38">
        <v>1</v>
      </c>
      <c r="G38">
        <v>15514512</v>
      </c>
      <c r="H38">
        <v>2</v>
      </c>
      <c r="I38" t="s">
        <v>271</v>
      </c>
      <c r="J38" t="s">
        <v>272</v>
      </c>
      <c r="K38" t="s">
        <v>273</v>
      </c>
      <c r="L38">
        <v>1368</v>
      </c>
      <c r="N38">
        <v>1011</v>
      </c>
      <c r="O38" t="s">
        <v>270</v>
      </c>
      <c r="P38" t="s">
        <v>270</v>
      </c>
      <c r="Q38">
        <v>1</v>
      </c>
      <c r="X38">
        <v>168.75</v>
      </c>
      <c r="Y38">
        <v>0</v>
      </c>
      <c r="Z38">
        <v>1994.58</v>
      </c>
      <c r="AA38">
        <v>1007.74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168.75</v>
      </c>
      <c r="AH38">
        <v>2</v>
      </c>
      <c r="AI38">
        <v>81141832</v>
      </c>
      <c r="AJ38">
        <v>70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ROW(Source!A81)</f>
        <v>81</v>
      </c>
      <c r="B39">
        <v>81141856</v>
      </c>
      <c r="C39">
        <v>81141849</v>
      </c>
      <c r="D39">
        <v>80199986</v>
      </c>
      <c r="E39">
        <v>15514512</v>
      </c>
      <c r="F39">
        <v>1</v>
      </c>
      <c r="G39">
        <v>15514512</v>
      </c>
      <c r="H39">
        <v>1</v>
      </c>
      <c r="I39" t="s">
        <v>264</v>
      </c>
      <c r="J39" t="s">
        <v>3</v>
      </c>
      <c r="K39" t="s">
        <v>265</v>
      </c>
      <c r="L39">
        <v>1191</v>
      </c>
      <c r="N39">
        <v>1013</v>
      </c>
      <c r="O39" t="s">
        <v>266</v>
      </c>
      <c r="P39" t="s">
        <v>266</v>
      </c>
      <c r="Q39">
        <v>1</v>
      </c>
      <c r="X39">
        <v>2.37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3</v>
      </c>
      <c r="AG39">
        <v>2.37</v>
      </c>
      <c r="AH39">
        <v>2</v>
      </c>
      <c r="AI39">
        <v>81141856</v>
      </c>
      <c r="AJ39">
        <v>77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ROW(Source!A81)</f>
        <v>81</v>
      </c>
      <c r="B40">
        <v>81141857</v>
      </c>
      <c r="C40">
        <v>81141849</v>
      </c>
      <c r="D40">
        <v>80213010</v>
      </c>
      <c r="E40">
        <v>1</v>
      </c>
      <c r="F40">
        <v>1</v>
      </c>
      <c r="G40">
        <v>15514512</v>
      </c>
      <c r="H40">
        <v>2</v>
      </c>
      <c r="I40" t="s">
        <v>267</v>
      </c>
      <c r="J40" t="s">
        <v>268</v>
      </c>
      <c r="K40" t="s">
        <v>269</v>
      </c>
      <c r="L40">
        <v>1368</v>
      </c>
      <c r="N40">
        <v>1011</v>
      </c>
      <c r="O40" t="s">
        <v>270</v>
      </c>
      <c r="P40" t="s">
        <v>270</v>
      </c>
      <c r="Q40">
        <v>1</v>
      </c>
      <c r="X40">
        <v>0.82</v>
      </c>
      <c r="Y40">
        <v>0</v>
      </c>
      <c r="Z40">
        <v>441.32</v>
      </c>
      <c r="AA40">
        <v>1.36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0.82</v>
      </c>
      <c r="AH40">
        <v>2</v>
      </c>
      <c r="AI40">
        <v>81141857</v>
      </c>
      <c r="AJ40">
        <v>78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ROW(Source!A83)</f>
        <v>83</v>
      </c>
      <c r="B41">
        <v>81141862</v>
      </c>
      <c r="C41">
        <v>81141861</v>
      </c>
      <c r="D41">
        <v>80199986</v>
      </c>
      <c r="E41">
        <v>15514512</v>
      </c>
      <c r="F41">
        <v>1</v>
      </c>
      <c r="G41">
        <v>15514512</v>
      </c>
      <c r="H41">
        <v>1</v>
      </c>
      <c r="I41" t="s">
        <v>264</v>
      </c>
      <c r="J41" t="s">
        <v>3</v>
      </c>
      <c r="K41" t="s">
        <v>265</v>
      </c>
      <c r="L41">
        <v>1191</v>
      </c>
      <c r="N41">
        <v>1013</v>
      </c>
      <c r="O41" t="s">
        <v>266</v>
      </c>
      <c r="P41" t="s">
        <v>266</v>
      </c>
      <c r="Q41">
        <v>1</v>
      </c>
      <c r="X41">
        <v>8.2899999999999991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</v>
      </c>
      <c r="AG41">
        <v>8.2899999999999991</v>
      </c>
      <c r="AH41">
        <v>2</v>
      </c>
      <c r="AI41">
        <v>81141862</v>
      </c>
      <c r="AJ41">
        <v>80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A8204-72B6-4E22-BEBE-F9EB9A026F0B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СН-2012 по гл. 1-5,7</vt:lpstr>
      <vt:lpstr>Ведомость объемов работ</vt:lpstr>
      <vt:lpstr>RV_DATA</vt:lpstr>
      <vt:lpstr>Расчет стоимости ресурсов</vt:lpstr>
      <vt:lpstr>Source</vt:lpstr>
      <vt:lpstr>SourceObSm</vt:lpstr>
      <vt:lpstr>SmtRes</vt:lpstr>
      <vt:lpstr>EtalonRes</vt:lpstr>
      <vt:lpstr>SrcPoprs</vt:lpstr>
      <vt:lpstr>SrcKA</vt:lpstr>
      <vt:lpstr>'Ведомость объемов работ'!Print_Area</vt:lpstr>
      <vt:lpstr>'Расчет стоимости ресурсов'!Print_Area</vt:lpstr>
      <vt:lpstr>'Смета СН-2012 по гл. 1-5,7'!Print_Area</vt:lpstr>
      <vt:lpstr>'Ведомость объемов работ'!Print_Titles</vt:lpstr>
      <vt:lpstr>'Расчет стоимости ресурсов'!Print_Titles</vt:lpstr>
      <vt:lpstr>'Смета СН-2012 по гл. 1-5,7'!Print_Titles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Шукаль Екатерина</cp:lastModifiedBy>
  <dcterms:created xsi:type="dcterms:W3CDTF">2025-12-16T08:23:36Z</dcterms:created>
  <dcterms:modified xsi:type="dcterms:W3CDTF">2025-12-22T09:33:40Z</dcterms:modified>
</cp:coreProperties>
</file>